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ΠΑΝΕΠΙΣΤΗΜΙΟ ΘΕΣΣΑΛΙΑΣ\Επιφάνεια εργασίας\"/>
    </mc:Choice>
  </mc:AlternateContent>
  <bookViews>
    <workbookView xWindow="0" yWindow="0" windowWidth="28800" windowHeight="12330"/>
  </bookViews>
  <sheets>
    <sheet name="Πρόγραμμα" sheetId="1" r:id="rId1"/>
    <sheet name="Σύνοψη" sheetId="2" r:id="rId2"/>
    <sheet name="Οδηγίες" sheetId="3" r:id="rId3"/>
  </sheets>
  <definedNames>
    <definedName name="_xlnm._FilterDatabase" localSheetId="1" hidden="1">Σύνοψη!$A$7:$L$178</definedName>
    <definedName name="Μαθήματα">Σύνοψη!$E$8:$E$204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" l="1"/>
  <c r="I204" i="2"/>
  <c r="C204" i="2"/>
  <c r="I203" i="2"/>
  <c r="C203" i="2"/>
  <c r="I202" i="2"/>
  <c r="C202" i="2"/>
  <c r="I201" i="2"/>
  <c r="C201" i="2"/>
  <c r="I200" i="2"/>
  <c r="C200" i="2"/>
  <c r="I199" i="2"/>
  <c r="C199" i="2"/>
  <c r="I198" i="2"/>
  <c r="C198" i="2"/>
  <c r="I197" i="2"/>
  <c r="C197" i="2"/>
  <c r="I196" i="2"/>
  <c r="C196" i="2"/>
  <c r="I195" i="2"/>
  <c r="C195" i="2"/>
  <c r="I194" i="2"/>
  <c r="C194" i="2"/>
  <c r="I193" i="2"/>
  <c r="C193" i="2"/>
  <c r="I192" i="2"/>
  <c r="C192" i="2"/>
  <c r="I191" i="2"/>
  <c r="C191" i="2"/>
  <c r="I190" i="2"/>
  <c r="C190" i="2"/>
  <c r="I189" i="2"/>
  <c r="C189" i="2"/>
  <c r="I188" i="2"/>
  <c r="C188" i="2"/>
  <c r="I187" i="2"/>
  <c r="C187" i="2"/>
  <c r="I186" i="2"/>
  <c r="C186" i="2"/>
  <c r="I185" i="2"/>
  <c r="C185" i="2"/>
  <c r="I184" i="2"/>
  <c r="C184" i="2"/>
  <c r="I183" i="2"/>
  <c r="C183" i="2"/>
  <c r="I182" i="2"/>
  <c r="C182" i="2"/>
  <c r="I181" i="2"/>
  <c r="C181" i="2"/>
  <c r="I180" i="2"/>
  <c r="C180" i="2"/>
  <c r="I179" i="2"/>
  <c r="C179" i="2"/>
  <c r="J178" i="2"/>
  <c r="H178" i="2"/>
  <c r="G178" i="2"/>
  <c r="I178" i="2" s="1"/>
  <c r="F178" i="2"/>
  <c r="C178" i="2"/>
  <c r="J177" i="2"/>
  <c r="H177" i="2"/>
  <c r="G177" i="2"/>
  <c r="I177" i="2" s="1"/>
  <c r="F177" i="2"/>
  <c r="C177" i="2"/>
  <c r="J176" i="2"/>
  <c r="H176" i="2"/>
  <c r="G176" i="2"/>
  <c r="F176" i="2"/>
  <c r="C176" i="2"/>
  <c r="J175" i="2"/>
  <c r="H175" i="2"/>
  <c r="G175" i="2"/>
  <c r="I175" i="2" s="1"/>
  <c r="F175" i="2"/>
  <c r="C175" i="2"/>
  <c r="J174" i="2"/>
  <c r="H174" i="2"/>
  <c r="G174" i="2"/>
  <c r="F174" i="2"/>
  <c r="C174" i="2"/>
  <c r="J173" i="2"/>
  <c r="H173" i="2"/>
  <c r="G173" i="2"/>
  <c r="F173" i="2"/>
  <c r="C173" i="2"/>
  <c r="J172" i="2"/>
  <c r="H172" i="2"/>
  <c r="G172" i="2"/>
  <c r="I172" i="2" s="1"/>
  <c r="F172" i="2"/>
  <c r="C172" i="2"/>
  <c r="J171" i="2"/>
  <c r="H171" i="2"/>
  <c r="G171" i="2"/>
  <c r="F171" i="2"/>
  <c r="C171" i="2"/>
  <c r="I170" i="2"/>
  <c r="C170" i="2"/>
  <c r="J169" i="2"/>
  <c r="H169" i="2"/>
  <c r="G169" i="2"/>
  <c r="F169" i="2"/>
  <c r="C169" i="2"/>
  <c r="J168" i="2"/>
  <c r="H168" i="2"/>
  <c r="G168" i="2"/>
  <c r="F168" i="2"/>
  <c r="C168" i="2"/>
  <c r="I167" i="2"/>
  <c r="C167" i="2"/>
  <c r="J166" i="2"/>
  <c r="H166" i="2"/>
  <c r="G166" i="2"/>
  <c r="F166" i="2"/>
  <c r="C166" i="2"/>
  <c r="J165" i="2"/>
  <c r="H165" i="2"/>
  <c r="G165" i="2"/>
  <c r="I165" i="2" s="1"/>
  <c r="F165" i="2"/>
  <c r="C165" i="2"/>
  <c r="J164" i="2"/>
  <c r="H164" i="2"/>
  <c r="G164" i="2"/>
  <c r="F164" i="2"/>
  <c r="C164" i="2"/>
  <c r="J163" i="2"/>
  <c r="H163" i="2"/>
  <c r="G163" i="2"/>
  <c r="F163" i="2"/>
  <c r="C163" i="2"/>
  <c r="J162" i="2"/>
  <c r="H162" i="2"/>
  <c r="G162" i="2"/>
  <c r="F162" i="2"/>
  <c r="C162" i="2"/>
  <c r="J161" i="2"/>
  <c r="H161" i="2"/>
  <c r="G161" i="2"/>
  <c r="I161" i="2" s="1"/>
  <c r="F161" i="2"/>
  <c r="C161" i="2"/>
  <c r="J160" i="2"/>
  <c r="H160" i="2"/>
  <c r="G160" i="2"/>
  <c r="I160" i="2" s="1"/>
  <c r="F160" i="2"/>
  <c r="C160" i="2"/>
  <c r="J159" i="2"/>
  <c r="H159" i="2"/>
  <c r="G159" i="2"/>
  <c r="I159" i="2" s="1"/>
  <c r="F159" i="2"/>
  <c r="C159" i="2"/>
  <c r="J158" i="2"/>
  <c r="H158" i="2"/>
  <c r="G158" i="2"/>
  <c r="I158" i="2" s="1"/>
  <c r="F158" i="2"/>
  <c r="C158" i="2"/>
  <c r="H157" i="2"/>
  <c r="G157" i="2"/>
  <c r="I157" i="2" s="1"/>
  <c r="F157" i="2"/>
  <c r="C157" i="2"/>
  <c r="J156" i="2"/>
  <c r="H156" i="2"/>
  <c r="G156" i="2"/>
  <c r="F156" i="2"/>
  <c r="C156" i="2"/>
  <c r="J155" i="2"/>
  <c r="H155" i="2"/>
  <c r="G155" i="2"/>
  <c r="F155" i="2"/>
  <c r="C155" i="2"/>
  <c r="J154" i="2"/>
  <c r="H154" i="2"/>
  <c r="G154" i="2"/>
  <c r="I154" i="2" s="1"/>
  <c r="F154" i="2"/>
  <c r="C154" i="2"/>
  <c r="J153" i="2"/>
  <c r="H153" i="2"/>
  <c r="G153" i="2"/>
  <c r="F153" i="2"/>
  <c r="C153" i="2"/>
  <c r="J152" i="2"/>
  <c r="H152" i="2"/>
  <c r="G152" i="2"/>
  <c r="F152" i="2"/>
  <c r="C152" i="2"/>
  <c r="J151" i="2"/>
  <c r="H151" i="2"/>
  <c r="G151" i="2"/>
  <c r="F151" i="2"/>
  <c r="C151" i="2"/>
  <c r="J150" i="2"/>
  <c r="H150" i="2"/>
  <c r="G150" i="2"/>
  <c r="F150" i="2"/>
  <c r="C150" i="2"/>
  <c r="J149" i="2"/>
  <c r="H149" i="2"/>
  <c r="G149" i="2"/>
  <c r="I149" i="2" s="1"/>
  <c r="F149" i="2"/>
  <c r="C149" i="2"/>
  <c r="J148" i="2"/>
  <c r="H148" i="2"/>
  <c r="G148" i="2"/>
  <c r="F148" i="2"/>
  <c r="C148" i="2"/>
  <c r="J147" i="2"/>
  <c r="H147" i="2"/>
  <c r="G147" i="2"/>
  <c r="F147" i="2"/>
  <c r="C147" i="2"/>
  <c r="J146" i="2"/>
  <c r="H146" i="2"/>
  <c r="G146" i="2"/>
  <c r="I146" i="2" s="1"/>
  <c r="F146" i="2"/>
  <c r="C146" i="2"/>
  <c r="J145" i="2"/>
  <c r="H145" i="2"/>
  <c r="G145" i="2"/>
  <c r="F145" i="2"/>
  <c r="C145" i="2"/>
  <c r="J144" i="2"/>
  <c r="H144" i="2"/>
  <c r="G144" i="2"/>
  <c r="F144" i="2"/>
  <c r="C144" i="2"/>
  <c r="J143" i="2"/>
  <c r="H143" i="2"/>
  <c r="G143" i="2"/>
  <c r="I143" i="2" s="1"/>
  <c r="F143" i="2"/>
  <c r="C143" i="2"/>
  <c r="J142" i="2"/>
  <c r="H142" i="2"/>
  <c r="G142" i="2"/>
  <c r="F142" i="2"/>
  <c r="C142" i="2"/>
  <c r="J141" i="2"/>
  <c r="H141" i="2"/>
  <c r="G141" i="2"/>
  <c r="I141" i="2" s="1"/>
  <c r="F141" i="2"/>
  <c r="C141" i="2"/>
  <c r="J140" i="2"/>
  <c r="H140" i="2"/>
  <c r="G140" i="2"/>
  <c r="F140" i="2"/>
  <c r="C140" i="2"/>
  <c r="J139" i="2"/>
  <c r="H139" i="2"/>
  <c r="G139" i="2"/>
  <c r="F139" i="2"/>
  <c r="C139" i="2"/>
  <c r="J138" i="2"/>
  <c r="H138" i="2"/>
  <c r="G138" i="2"/>
  <c r="I138" i="2" s="1"/>
  <c r="F138" i="2"/>
  <c r="C138" i="2"/>
  <c r="J137" i="2"/>
  <c r="H137" i="2"/>
  <c r="G137" i="2"/>
  <c r="F137" i="2"/>
  <c r="C137" i="2"/>
  <c r="J136" i="2"/>
  <c r="H136" i="2"/>
  <c r="G136" i="2"/>
  <c r="F136" i="2"/>
  <c r="C136" i="2"/>
  <c r="I135" i="2"/>
  <c r="C135" i="2"/>
  <c r="I134" i="2"/>
  <c r="C134" i="2"/>
  <c r="I133" i="2"/>
  <c r="C133" i="2"/>
  <c r="I132" i="2"/>
  <c r="C132" i="2"/>
  <c r="I131" i="2"/>
  <c r="C131" i="2"/>
  <c r="I130" i="2"/>
  <c r="C130" i="2"/>
  <c r="I129" i="2"/>
  <c r="C129" i="2"/>
  <c r="I128" i="2"/>
  <c r="C128" i="2"/>
  <c r="I127" i="2"/>
  <c r="C127" i="2"/>
  <c r="I126" i="2"/>
  <c r="C126" i="2"/>
  <c r="I125" i="2"/>
  <c r="C125" i="2"/>
  <c r="I124" i="2"/>
  <c r="C124" i="2"/>
  <c r="I123" i="2"/>
  <c r="C123" i="2"/>
  <c r="I122" i="2"/>
  <c r="C122" i="2"/>
  <c r="I121" i="2"/>
  <c r="C121" i="2"/>
  <c r="I120" i="2"/>
  <c r="C120" i="2"/>
  <c r="I119" i="2"/>
  <c r="C119" i="2"/>
  <c r="I118" i="2"/>
  <c r="C118" i="2"/>
  <c r="I117" i="2"/>
  <c r="C117" i="2"/>
  <c r="I116" i="2"/>
  <c r="C116" i="2"/>
  <c r="I115" i="2"/>
  <c r="C115" i="2"/>
  <c r="I114" i="2"/>
  <c r="C114" i="2"/>
  <c r="I113" i="2"/>
  <c r="C113" i="2"/>
  <c r="I112" i="2"/>
  <c r="C112" i="2"/>
  <c r="I111" i="2"/>
  <c r="C111" i="2"/>
  <c r="I110" i="2"/>
  <c r="C110" i="2"/>
  <c r="I109" i="2"/>
  <c r="C109" i="2"/>
  <c r="I108" i="2"/>
  <c r="C108" i="2"/>
  <c r="I107" i="2"/>
  <c r="C107" i="2"/>
  <c r="I106" i="2"/>
  <c r="C106" i="2"/>
  <c r="I105" i="2"/>
  <c r="C105" i="2"/>
  <c r="I104" i="2"/>
  <c r="C104" i="2"/>
  <c r="I103" i="2"/>
  <c r="C103" i="2"/>
  <c r="I102" i="2"/>
  <c r="C102" i="2"/>
  <c r="I101" i="2"/>
  <c r="C101" i="2"/>
  <c r="I100" i="2"/>
  <c r="C100" i="2"/>
  <c r="I99" i="2"/>
  <c r="C99" i="2"/>
  <c r="I98" i="2"/>
  <c r="C98" i="2"/>
  <c r="I97" i="2"/>
  <c r="C97" i="2"/>
  <c r="I96" i="2"/>
  <c r="C96" i="2"/>
  <c r="I95" i="2"/>
  <c r="C95" i="2"/>
  <c r="I94" i="2"/>
  <c r="C94" i="2"/>
  <c r="I93" i="2"/>
  <c r="C93" i="2"/>
  <c r="I92" i="2"/>
  <c r="C92" i="2"/>
  <c r="I91" i="2"/>
  <c r="C91" i="2"/>
  <c r="I90" i="2"/>
  <c r="C90" i="2"/>
  <c r="I89" i="2"/>
  <c r="C89" i="2"/>
  <c r="I88" i="2"/>
  <c r="C88" i="2"/>
  <c r="I87" i="2"/>
  <c r="C87" i="2"/>
  <c r="I86" i="2"/>
  <c r="C86" i="2"/>
  <c r="I85" i="2"/>
  <c r="C85" i="2"/>
  <c r="I84" i="2"/>
  <c r="C84" i="2"/>
  <c r="I83" i="2"/>
  <c r="C83" i="2"/>
  <c r="I82" i="2"/>
  <c r="C82" i="2"/>
  <c r="I81" i="2"/>
  <c r="C81" i="2"/>
  <c r="I80" i="2"/>
  <c r="C80" i="2"/>
  <c r="I79" i="2"/>
  <c r="C79" i="2"/>
  <c r="I78" i="2"/>
  <c r="C78" i="2"/>
  <c r="I77" i="2"/>
  <c r="C77" i="2"/>
  <c r="I76" i="2"/>
  <c r="C76" i="2"/>
  <c r="I75" i="2"/>
  <c r="C75" i="2"/>
  <c r="I74" i="2"/>
  <c r="C74" i="2"/>
  <c r="I73" i="2"/>
  <c r="C73" i="2"/>
  <c r="I72" i="2"/>
  <c r="C72" i="2"/>
  <c r="I71" i="2"/>
  <c r="C71" i="2"/>
  <c r="I70" i="2"/>
  <c r="C70" i="2"/>
  <c r="I69" i="2"/>
  <c r="C69" i="2"/>
  <c r="I68" i="2"/>
  <c r="C68" i="2"/>
  <c r="I67" i="2"/>
  <c r="C67" i="2"/>
  <c r="I66" i="2"/>
  <c r="C66" i="2"/>
  <c r="I65" i="2"/>
  <c r="C65" i="2"/>
  <c r="I64" i="2"/>
  <c r="C64" i="2"/>
  <c r="I63" i="2"/>
  <c r="C63" i="2"/>
  <c r="I62" i="2"/>
  <c r="C62" i="2"/>
  <c r="I61" i="2"/>
  <c r="C61" i="2"/>
  <c r="I60" i="2"/>
  <c r="C60" i="2"/>
  <c r="I59" i="2"/>
  <c r="C59" i="2"/>
  <c r="I58" i="2"/>
  <c r="C58" i="2"/>
  <c r="I57" i="2"/>
  <c r="C57" i="2"/>
  <c r="I56" i="2"/>
  <c r="C56" i="2"/>
  <c r="I55" i="2"/>
  <c r="C55" i="2"/>
  <c r="I54" i="2"/>
  <c r="C54" i="2"/>
  <c r="I53" i="2"/>
  <c r="C53" i="2"/>
  <c r="I52" i="2"/>
  <c r="C52" i="2"/>
  <c r="I51" i="2"/>
  <c r="C51" i="2"/>
  <c r="I50" i="2"/>
  <c r="C50" i="2"/>
  <c r="I49" i="2"/>
  <c r="C49" i="2"/>
  <c r="I48" i="2"/>
  <c r="C48" i="2"/>
  <c r="I47" i="2"/>
  <c r="C47" i="2"/>
  <c r="I46" i="2"/>
  <c r="C46" i="2"/>
  <c r="I45" i="2"/>
  <c r="C45" i="2"/>
  <c r="I44" i="2"/>
  <c r="C44" i="2"/>
  <c r="I43" i="2"/>
  <c r="C43" i="2"/>
  <c r="I42" i="2"/>
  <c r="C42" i="2"/>
  <c r="I41" i="2"/>
  <c r="C41" i="2"/>
  <c r="I40" i="2"/>
  <c r="C40" i="2"/>
  <c r="I39" i="2"/>
  <c r="C39" i="2"/>
  <c r="I38" i="2"/>
  <c r="C38" i="2"/>
  <c r="I37" i="2"/>
  <c r="C37" i="2"/>
  <c r="I36" i="2"/>
  <c r="C36" i="2"/>
  <c r="I35" i="2"/>
  <c r="C35" i="2"/>
  <c r="I34" i="2"/>
  <c r="C34" i="2"/>
  <c r="I33" i="2"/>
  <c r="C33" i="2"/>
  <c r="I32" i="2"/>
  <c r="C32" i="2"/>
  <c r="I31" i="2"/>
  <c r="C31" i="2"/>
  <c r="I30" i="2"/>
  <c r="C30" i="2"/>
  <c r="I29" i="2"/>
  <c r="C29" i="2"/>
  <c r="I28" i="2"/>
  <c r="C28" i="2"/>
  <c r="I27" i="2"/>
  <c r="C27" i="2"/>
  <c r="I26" i="2"/>
  <c r="C26" i="2"/>
  <c r="I25" i="2"/>
  <c r="C25" i="2"/>
  <c r="I24" i="2"/>
  <c r="C24" i="2"/>
  <c r="I23" i="2"/>
  <c r="C23" i="2"/>
  <c r="I22" i="2"/>
  <c r="C22" i="2"/>
  <c r="I21" i="2"/>
  <c r="C21" i="2"/>
  <c r="I20" i="2"/>
  <c r="C20" i="2"/>
  <c r="I19" i="2"/>
  <c r="C19" i="2"/>
  <c r="I18" i="2"/>
  <c r="C18" i="2"/>
  <c r="I17" i="2"/>
  <c r="C17" i="2"/>
  <c r="I16" i="2"/>
  <c r="C16" i="2"/>
  <c r="I15" i="2"/>
  <c r="C15" i="2"/>
  <c r="I14" i="2"/>
  <c r="C14" i="2"/>
  <c r="I13" i="2"/>
  <c r="C13" i="2"/>
  <c r="C12" i="2"/>
  <c r="I11" i="2"/>
  <c r="C11" i="2"/>
  <c r="I10" i="2"/>
  <c r="C10" i="2"/>
  <c r="I9" i="2"/>
  <c r="C9" i="2"/>
  <c r="I8" i="2"/>
  <c r="C8" i="2"/>
  <c r="E5" i="2"/>
  <c r="H1" i="1"/>
  <c r="G1" i="1"/>
  <c r="F1" i="1"/>
  <c r="E1" i="1"/>
  <c r="D1" i="1"/>
  <c r="A219" i="1" s="1"/>
  <c r="C1" i="1"/>
  <c r="B1" i="1"/>
  <c r="A1" i="1"/>
  <c r="H121" i="1"/>
  <c r="I162" i="2" l="1"/>
  <c r="I171" i="2"/>
  <c r="I139" i="2"/>
  <c r="I147" i="2"/>
  <c r="I155" i="2"/>
  <c r="I166" i="2"/>
  <c r="I176" i="2"/>
  <c r="I137" i="2"/>
  <c r="I145" i="2"/>
  <c r="I153" i="2"/>
  <c r="I164" i="2"/>
  <c r="I174" i="2"/>
  <c r="I152" i="2"/>
  <c r="I168" i="2"/>
  <c r="I173" i="2"/>
  <c r="I140" i="2"/>
  <c r="I148" i="2"/>
  <c r="I156" i="2"/>
  <c r="I136" i="2"/>
  <c r="I144" i="2"/>
  <c r="I151" i="2"/>
  <c r="I142" i="2"/>
  <c r="I150" i="2"/>
  <c r="I169" i="2"/>
  <c r="A75" i="1"/>
  <c r="A147" i="1"/>
  <c r="A18" i="1"/>
  <c r="A74" i="1"/>
  <c r="A90" i="1"/>
  <c r="A146" i="1"/>
  <c r="A162" i="1"/>
  <c r="A218" i="1"/>
  <c r="A234" i="1"/>
  <c r="A32" i="1"/>
  <c r="A104" i="1"/>
  <c r="A176" i="1"/>
  <c r="A248" i="1"/>
  <c r="A46" i="1"/>
  <c r="A118" i="1"/>
  <c r="A190" i="1"/>
  <c r="A262" i="1"/>
  <c r="A4" i="1"/>
  <c r="A60" i="1"/>
  <c r="A76" i="1"/>
  <c r="A132" i="1"/>
  <c r="A148" i="1"/>
  <c r="A204" i="1"/>
  <c r="A220" i="1"/>
  <c r="A276" i="1"/>
  <c r="A100" i="1" l="1"/>
  <c r="A92" i="1"/>
  <c r="A93" i="1"/>
  <c r="A102" i="1"/>
  <c r="A94" i="1"/>
  <c r="A103" i="1"/>
  <c r="A95" i="1"/>
  <c r="A96" i="1"/>
  <c r="A97" i="1"/>
  <c r="A98" i="1"/>
  <c r="A99" i="1"/>
  <c r="A91" i="1"/>
  <c r="A101" i="1"/>
  <c r="A203" i="1"/>
  <c r="A195" i="1"/>
  <c r="A196" i="1"/>
  <c r="A197" i="1"/>
  <c r="A198" i="1"/>
  <c r="A199" i="1"/>
  <c r="A191" i="1"/>
  <c r="A200" i="1"/>
  <c r="A192" i="1"/>
  <c r="A201" i="1"/>
  <c r="A193" i="1"/>
  <c r="A202" i="1"/>
  <c r="A194" i="1"/>
  <c r="A131" i="1"/>
  <c r="A124" i="1"/>
  <c r="A126" i="1"/>
  <c r="A127" i="1"/>
  <c r="A119" i="1"/>
  <c r="A128" i="1"/>
  <c r="A120" i="1"/>
  <c r="A129" i="1"/>
  <c r="A121" i="1"/>
  <c r="A130" i="1"/>
  <c r="A122" i="1"/>
  <c r="A123" i="1"/>
  <c r="A125" i="1"/>
  <c r="A59" i="1"/>
  <c r="A51" i="1"/>
  <c r="A52" i="1"/>
  <c r="A54" i="1"/>
  <c r="A55" i="1"/>
  <c r="A47" i="1"/>
  <c r="A56" i="1"/>
  <c r="A48" i="1"/>
  <c r="A57" i="1"/>
  <c r="A49" i="1"/>
  <c r="A58" i="1"/>
  <c r="A50" i="1"/>
  <c r="A53" i="1"/>
  <c r="A259" i="1"/>
  <c r="A251" i="1"/>
  <c r="A260" i="1"/>
  <c r="A252" i="1"/>
  <c r="A261" i="1"/>
  <c r="A253" i="1"/>
  <c r="A254" i="1"/>
  <c r="A255" i="1"/>
  <c r="A256" i="1"/>
  <c r="A257" i="1"/>
  <c r="A249" i="1"/>
  <c r="A258" i="1"/>
  <c r="A250" i="1"/>
  <c r="A68" i="1"/>
  <c r="A69" i="1"/>
  <c r="A70" i="1"/>
  <c r="A62" i="1"/>
  <c r="A63" i="1"/>
  <c r="A71" i="1"/>
  <c r="A72" i="1"/>
  <c r="A64" i="1"/>
  <c r="A65" i="1"/>
  <c r="A73" i="1"/>
  <c r="A66" i="1"/>
  <c r="A67" i="1"/>
  <c r="A61" i="1"/>
  <c r="A107" i="1"/>
  <c r="A117" i="1"/>
  <c r="A109" i="1"/>
  <c r="A116" i="1"/>
  <c r="A108" i="1"/>
  <c r="A110" i="1"/>
  <c r="A111" i="1"/>
  <c r="A112" i="1"/>
  <c r="A113" i="1"/>
  <c r="A105" i="1"/>
  <c r="A114" i="1"/>
  <c r="A106" i="1"/>
  <c r="A115" i="1"/>
  <c r="A19" i="1"/>
  <c r="A28" i="1"/>
  <c r="A20" i="1"/>
  <c r="A30" i="1"/>
  <c r="A22" i="1"/>
  <c r="A31" i="1"/>
  <c r="A23" i="1"/>
  <c r="A24" i="1"/>
  <c r="A25" i="1"/>
  <c r="A21" i="1"/>
  <c r="A26" i="1"/>
  <c r="A27" i="1"/>
  <c r="A29" i="1"/>
  <c r="A227" i="1"/>
  <c r="A228" i="1"/>
  <c r="A230" i="1"/>
  <c r="A222" i="1"/>
  <c r="A231" i="1"/>
  <c r="A223" i="1"/>
  <c r="A232" i="1"/>
  <c r="A224" i="1"/>
  <c r="A233" i="1"/>
  <c r="A225" i="1"/>
  <c r="A226" i="1"/>
  <c r="A229" i="1"/>
  <c r="A221" i="1"/>
  <c r="A171" i="1"/>
  <c r="A163" i="1"/>
  <c r="A172" i="1"/>
  <c r="A164" i="1"/>
  <c r="A174" i="1"/>
  <c r="A166" i="1"/>
  <c r="A167" i="1"/>
  <c r="A175" i="1"/>
  <c r="A168" i="1"/>
  <c r="A169" i="1"/>
  <c r="A170" i="1"/>
  <c r="A173" i="1"/>
  <c r="A165" i="1"/>
  <c r="A211" i="1"/>
  <c r="A212" i="1"/>
  <c r="A214" i="1"/>
  <c r="A206" i="1"/>
  <c r="A215" i="1"/>
  <c r="A207" i="1"/>
  <c r="A216" i="1"/>
  <c r="A208" i="1"/>
  <c r="A217" i="1"/>
  <c r="A209" i="1"/>
  <c r="A210" i="1"/>
  <c r="A213" i="1"/>
  <c r="A205" i="1"/>
  <c r="A157" i="1"/>
  <c r="A149" i="1"/>
  <c r="A156" i="1"/>
  <c r="A158" i="1"/>
  <c r="A150" i="1"/>
  <c r="A159" i="1"/>
  <c r="A151" i="1"/>
  <c r="A160" i="1"/>
  <c r="A152" i="1"/>
  <c r="A153" i="1"/>
  <c r="A161" i="1"/>
  <c r="A154" i="1"/>
  <c r="A155" i="1"/>
  <c r="A139" i="1"/>
  <c r="A141" i="1"/>
  <c r="A140" i="1"/>
  <c r="A142" i="1"/>
  <c r="A134" i="1"/>
  <c r="A143" i="1"/>
  <c r="A135" i="1"/>
  <c r="A144" i="1"/>
  <c r="A136" i="1"/>
  <c r="A145" i="1"/>
  <c r="A137" i="1"/>
  <c r="A138" i="1"/>
  <c r="A133" i="1"/>
  <c r="A84" i="1"/>
  <c r="A85" i="1"/>
  <c r="A86" i="1"/>
  <c r="A78" i="1"/>
  <c r="A87" i="1"/>
  <c r="A79" i="1"/>
  <c r="A88" i="1"/>
  <c r="A80" i="1"/>
  <c r="A77" i="1"/>
  <c r="A89" i="1"/>
  <c r="A81" i="1"/>
  <c r="A82" i="1"/>
  <c r="A83" i="1"/>
  <c r="A187" i="1"/>
  <c r="A179" i="1"/>
  <c r="A189" i="1"/>
  <c r="A188" i="1"/>
  <c r="A180" i="1"/>
  <c r="A182" i="1"/>
  <c r="A183" i="1"/>
  <c r="A184" i="1"/>
  <c r="A177" i="1"/>
  <c r="A185" i="1"/>
  <c r="A186" i="1"/>
  <c r="A178" i="1"/>
  <c r="A181" i="1"/>
  <c r="A11" i="1"/>
  <c r="A12" i="1"/>
  <c r="A14" i="1"/>
  <c r="A6" i="1"/>
  <c r="A15" i="1"/>
  <c r="A7" i="1"/>
  <c r="A17" i="1"/>
  <c r="A16" i="1"/>
  <c r="A8" i="1"/>
  <c r="A9" i="1"/>
  <c r="A13" i="1"/>
  <c r="A5" i="1"/>
  <c r="A10" i="1"/>
  <c r="A43" i="1"/>
  <c r="A37" i="1"/>
  <c r="A44" i="1"/>
  <c r="A36" i="1"/>
  <c r="A38" i="1"/>
  <c r="A39" i="1"/>
  <c r="A40" i="1"/>
  <c r="A41" i="1"/>
  <c r="A33" i="1"/>
  <c r="A45" i="1"/>
  <c r="A42" i="1"/>
  <c r="A34" i="1"/>
  <c r="A35" i="1"/>
  <c r="A283" i="1"/>
  <c r="A284" i="1"/>
  <c r="A277" i="1"/>
  <c r="A285" i="1"/>
  <c r="A286" i="1"/>
  <c r="A278" i="1"/>
  <c r="A287" i="1"/>
  <c r="A279" i="1"/>
  <c r="A288" i="1"/>
  <c r="A280" i="1"/>
  <c r="A281" i="1"/>
  <c r="A282" i="1"/>
  <c r="A275" i="1"/>
  <c r="A267" i="1"/>
  <c r="A268" i="1"/>
  <c r="A269" i="1"/>
  <c r="A270" i="1"/>
  <c r="A271" i="1"/>
  <c r="A263" i="1"/>
  <c r="A272" i="1"/>
  <c r="A264" i="1"/>
  <c r="A273" i="1"/>
  <c r="A265" i="1"/>
  <c r="A274" i="1"/>
  <c r="A266" i="1"/>
  <c r="A243" i="1"/>
  <c r="A235" i="1"/>
  <c r="A244" i="1"/>
  <c r="A236" i="1"/>
  <c r="A237" i="1"/>
  <c r="A246" i="1"/>
  <c r="A238" i="1"/>
  <c r="A247" i="1"/>
  <c r="A239" i="1"/>
  <c r="A240" i="1"/>
  <c r="A241" i="1"/>
  <c r="A242" i="1"/>
  <c r="A245" i="1"/>
  <c r="L17" i="2"/>
  <c r="E253" i="1"/>
  <c r="C237" i="1"/>
  <c r="F98" i="1"/>
  <c r="G236" i="1"/>
  <c r="E142" i="1"/>
  <c r="C228" i="1"/>
  <c r="F193" i="1"/>
  <c r="D185" i="1"/>
  <c r="H132" i="1"/>
  <c r="K112" i="2"/>
  <c r="E202" i="1"/>
  <c r="C288" i="1"/>
  <c r="L65" i="2"/>
  <c r="D147" i="1"/>
  <c r="H235" i="1"/>
  <c r="D20" i="1"/>
  <c r="F176" i="1"/>
  <c r="D198" i="1"/>
  <c r="L116" i="2"/>
  <c r="G98" i="1"/>
  <c r="L156" i="2"/>
  <c r="F142" i="1"/>
  <c r="D186" i="1"/>
  <c r="F273" i="1"/>
  <c r="D217" i="1"/>
  <c r="H192" i="1"/>
  <c r="H237" i="1"/>
  <c r="K144" i="2"/>
  <c r="D220" i="1"/>
  <c r="D23" i="1"/>
  <c r="G223" i="1"/>
  <c r="E181" i="1"/>
  <c r="C165" i="1"/>
  <c r="F26" i="1"/>
  <c r="G164" i="1"/>
  <c r="L63" i="2"/>
  <c r="C156" i="1"/>
  <c r="K134" i="2"/>
  <c r="L171" i="2"/>
  <c r="F60" i="1"/>
  <c r="F146" i="1"/>
  <c r="K66" i="2"/>
  <c r="L107" i="2"/>
  <c r="E175" i="1"/>
  <c r="H220" i="1"/>
  <c r="D118" i="1"/>
  <c r="F274" i="1"/>
  <c r="D248" i="1"/>
  <c r="G251" i="1"/>
  <c r="E209" i="1"/>
  <c r="C72" i="1"/>
  <c r="D253" i="1"/>
  <c r="H180" i="1"/>
  <c r="L194" i="2"/>
  <c r="F184" i="1"/>
  <c r="D158" i="1"/>
  <c r="L128" i="2"/>
  <c r="E191" i="1"/>
  <c r="L112" i="2"/>
  <c r="E120" i="1"/>
  <c r="G104" i="1"/>
  <c r="K89" i="2"/>
  <c r="C191" i="1"/>
  <c r="F54" i="1"/>
  <c r="G262" i="1"/>
  <c r="E168" i="1"/>
  <c r="C182" i="1"/>
  <c r="F219" i="1"/>
  <c r="D163" i="1"/>
  <c r="H186" i="1"/>
  <c r="D36" i="1"/>
  <c r="D242" i="1"/>
  <c r="G149" i="1"/>
  <c r="E227" i="1"/>
  <c r="C209" i="1"/>
  <c r="E58" i="1"/>
  <c r="G138" i="1"/>
  <c r="L132" i="2"/>
  <c r="K191" i="2"/>
  <c r="F143" i="1"/>
  <c r="C243" i="1"/>
  <c r="G67" i="1"/>
  <c r="L103" i="2"/>
  <c r="E18" i="1"/>
  <c r="G240" i="1"/>
  <c r="D280" i="1"/>
  <c r="G235" i="1"/>
  <c r="E241" i="1"/>
  <c r="C225" i="1"/>
  <c r="F16" i="1"/>
  <c r="G274" i="1"/>
  <c r="H11" i="1"/>
  <c r="D194" i="1"/>
  <c r="L110" i="2"/>
  <c r="E179" i="1"/>
  <c r="C161" i="1"/>
  <c r="E10" i="1"/>
  <c r="F276" i="1"/>
  <c r="L60" i="2"/>
  <c r="G277" i="1"/>
  <c r="K95" i="2"/>
  <c r="C195" i="1"/>
  <c r="G19" i="1"/>
  <c r="H244" i="1"/>
  <c r="C98" i="1"/>
  <c r="H269" i="1"/>
  <c r="E21" i="1"/>
  <c r="H173" i="1"/>
  <c r="F9" i="1"/>
  <c r="G77" i="1"/>
  <c r="K127" i="2"/>
  <c r="G134" i="1"/>
  <c r="H41" i="1"/>
  <c r="C105" i="1"/>
  <c r="F277" i="1"/>
  <c r="C106" i="1"/>
  <c r="G245" i="1"/>
  <c r="C226" i="1"/>
  <c r="E75" i="1"/>
  <c r="F47" i="1"/>
  <c r="H58" i="1"/>
  <c r="E39" i="1"/>
  <c r="L74" i="2"/>
  <c r="G253" i="1"/>
  <c r="F259" i="1"/>
  <c r="D155" i="1"/>
  <c r="H202" i="1"/>
  <c r="H56" i="1"/>
  <c r="F134" i="1"/>
  <c r="K120" i="2"/>
  <c r="G135" i="1"/>
  <c r="E141" i="1"/>
  <c r="L109" i="2"/>
  <c r="E22" i="1"/>
  <c r="F242" i="1"/>
  <c r="D168" i="1"/>
  <c r="G195" i="1"/>
  <c r="E271" i="1"/>
  <c r="L52" i="2"/>
  <c r="E32" i="1"/>
  <c r="G184" i="1"/>
  <c r="L93" i="2"/>
  <c r="C152" i="1"/>
  <c r="K56" i="2"/>
  <c r="D74" i="1"/>
  <c r="F264" i="1"/>
  <c r="L42" i="2"/>
  <c r="L203" i="2"/>
  <c r="E221" i="1"/>
  <c r="L176" i="2"/>
  <c r="E102" i="1"/>
  <c r="G254" i="1"/>
  <c r="E208" i="1"/>
  <c r="C174" i="1"/>
  <c r="C19" i="1"/>
  <c r="F187" i="1"/>
  <c r="C287" i="1"/>
  <c r="K152" i="2"/>
  <c r="K133" i="2"/>
  <c r="E264" i="1"/>
  <c r="C278" i="1"/>
  <c r="L53" i="2"/>
  <c r="D259" i="1"/>
  <c r="H282" i="1"/>
  <c r="D132" i="1"/>
  <c r="L48" i="2"/>
  <c r="G221" i="1"/>
  <c r="K47" i="2"/>
  <c r="C281" i="1"/>
  <c r="E130" i="1"/>
  <c r="G210" i="1"/>
  <c r="E188" i="1"/>
  <c r="C202" i="1"/>
  <c r="F215" i="1"/>
  <c r="K169" i="2"/>
  <c r="H201" i="1"/>
  <c r="C169" i="1"/>
  <c r="E90" i="1"/>
  <c r="K64" i="2"/>
  <c r="L105" i="2"/>
  <c r="L150" i="2"/>
  <c r="K68" i="2"/>
  <c r="L19" i="2"/>
  <c r="F88" i="1"/>
  <c r="K115" i="2"/>
  <c r="H83" i="1"/>
  <c r="D229" i="1"/>
  <c r="H156" i="1"/>
  <c r="D126" i="1"/>
  <c r="F160" i="1"/>
  <c r="L177" i="2"/>
  <c r="L92" i="2"/>
  <c r="E167" i="1"/>
  <c r="L76" i="2"/>
  <c r="E96" i="1"/>
  <c r="D76" i="1"/>
  <c r="C196" i="1"/>
  <c r="K122" i="2"/>
  <c r="K199" i="2"/>
  <c r="H174" i="1"/>
  <c r="K94" i="2"/>
  <c r="E238" i="1"/>
  <c r="K81" i="2"/>
  <c r="K14" i="2"/>
  <c r="D281" i="1"/>
  <c r="H208" i="1"/>
  <c r="E125" i="1"/>
  <c r="F82" i="1"/>
  <c r="K151" i="2"/>
  <c r="F138" i="1"/>
  <c r="C234" i="1"/>
  <c r="F199" i="1"/>
  <c r="D143" i="1"/>
  <c r="H190" i="1"/>
  <c r="D88" i="1"/>
  <c r="F172" i="1"/>
  <c r="F79" i="1"/>
  <c r="C148" i="1"/>
  <c r="K50" i="2"/>
  <c r="C285" i="1"/>
  <c r="H283" i="1"/>
  <c r="G284" i="1"/>
  <c r="E190" i="1"/>
  <c r="C276" i="1"/>
  <c r="F241" i="1"/>
  <c r="D233" i="1"/>
  <c r="H160" i="1"/>
  <c r="E77" i="1"/>
  <c r="C160" i="1"/>
  <c r="G26" i="1"/>
  <c r="D41" i="1"/>
  <c r="E207" i="1"/>
  <c r="L64" i="2"/>
  <c r="E112" i="1"/>
  <c r="G142" i="1"/>
  <c r="L30" i="2"/>
  <c r="G257" i="1"/>
  <c r="K101" i="2"/>
  <c r="C247" i="1"/>
  <c r="F86" i="1"/>
  <c r="K132" i="2"/>
  <c r="E156" i="1"/>
  <c r="K179" i="2"/>
  <c r="F159" i="1"/>
  <c r="D173" i="1"/>
  <c r="F48" i="1"/>
  <c r="K55" i="2"/>
  <c r="E284" i="1"/>
  <c r="K42" i="2"/>
  <c r="L47" i="2"/>
  <c r="D207" i="1"/>
  <c r="K76" i="2"/>
  <c r="E178" i="1"/>
  <c r="C264" i="1"/>
  <c r="K29" i="2"/>
  <c r="K190" i="2"/>
  <c r="F118" i="1"/>
  <c r="H104" i="1"/>
  <c r="F152" i="1"/>
  <c r="D174" i="1"/>
  <c r="L80" i="2"/>
  <c r="D27" i="1"/>
  <c r="E135" i="1"/>
  <c r="H252" i="1"/>
  <c r="E40" i="1"/>
  <c r="F256" i="1"/>
  <c r="D230" i="1"/>
  <c r="G185" i="1"/>
  <c r="E263" i="1"/>
  <c r="C175" i="1"/>
  <c r="F14" i="1"/>
  <c r="E177" i="1"/>
  <c r="C268" i="1"/>
  <c r="F185" i="1"/>
  <c r="D201" i="1"/>
  <c r="H246" i="1"/>
  <c r="D24" i="1"/>
  <c r="L154" i="2"/>
  <c r="D154" i="1"/>
  <c r="L122" i="2"/>
  <c r="E163" i="1"/>
  <c r="H280" i="1"/>
  <c r="F29" i="1"/>
  <c r="H134" i="1"/>
  <c r="G92" i="1"/>
  <c r="F210" i="1"/>
  <c r="K54" i="2"/>
  <c r="F271" i="1"/>
  <c r="D215" i="1"/>
  <c r="H262" i="1"/>
  <c r="G114" i="1"/>
  <c r="F244" i="1"/>
  <c r="G14" i="1"/>
  <c r="C145" i="1"/>
  <c r="E66" i="1"/>
  <c r="G288" i="1"/>
  <c r="L69" i="2"/>
  <c r="G283" i="1"/>
  <c r="K32" i="2"/>
  <c r="C273" i="1"/>
  <c r="F64" i="1"/>
  <c r="K79" i="2"/>
  <c r="H59" i="1"/>
  <c r="L113" i="2"/>
  <c r="D251" i="1"/>
  <c r="K25" i="2"/>
  <c r="E84" i="1"/>
  <c r="F230" i="1"/>
  <c r="D204" i="1"/>
  <c r="G231" i="1"/>
  <c r="E237" i="1"/>
  <c r="C197" i="1"/>
  <c r="E118" i="1"/>
  <c r="D21" i="1"/>
  <c r="G36" i="1"/>
  <c r="F262" i="1"/>
  <c r="L36" i="2"/>
  <c r="G141" i="1"/>
  <c r="E147" i="1"/>
  <c r="L46" i="2"/>
  <c r="E100" i="1"/>
  <c r="G228" i="1"/>
  <c r="L87" i="2"/>
  <c r="H243" i="1"/>
  <c r="L41" i="2"/>
  <c r="D203" i="1"/>
  <c r="H250" i="1"/>
  <c r="E36" i="1"/>
  <c r="F182" i="1"/>
  <c r="D156" i="1"/>
  <c r="G183" i="1"/>
  <c r="E189" i="1"/>
  <c r="C149" i="1"/>
  <c r="L165" i="2"/>
  <c r="F56" i="1"/>
  <c r="D6" i="1"/>
  <c r="E242" i="1"/>
  <c r="C256" i="1"/>
  <c r="F221" i="1"/>
  <c r="D237" i="1"/>
  <c r="H212" i="1"/>
  <c r="G84" i="1"/>
  <c r="C50" i="1"/>
  <c r="K147" i="2"/>
  <c r="F281" i="1"/>
  <c r="L153" i="2"/>
  <c r="L91" i="2"/>
  <c r="D120" i="1"/>
  <c r="F204" i="1"/>
  <c r="D250" i="1"/>
  <c r="G205" i="1"/>
  <c r="E259" i="1"/>
  <c r="L151" i="2"/>
  <c r="F218" i="1"/>
  <c r="D144" i="1"/>
  <c r="G171" i="1"/>
  <c r="E247" i="1"/>
  <c r="K16" i="2"/>
  <c r="E8" i="1"/>
  <c r="G160" i="1"/>
  <c r="L57" i="2"/>
  <c r="K188" i="2"/>
  <c r="E281" i="1"/>
  <c r="H28" i="1"/>
  <c r="C241" i="1"/>
  <c r="H189" i="1"/>
  <c r="L144" i="2"/>
  <c r="E170" i="1"/>
  <c r="C184" i="1"/>
  <c r="F149" i="1"/>
  <c r="D165" i="1"/>
  <c r="H140" i="1"/>
  <c r="D86" i="1"/>
  <c r="G88" i="1"/>
  <c r="G175" i="1"/>
  <c r="E133" i="1"/>
  <c r="L133" i="2"/>
  <c r="G82" i="1"/>
  <c r="L174" i="2"/>
  <c r="D276" i="1"/>
  <c r="L138" i="2"/>
  <c r="K62" i="2"/>
  <c r="C269" i="1"/>
  <c r="F12" i="1"/>
  <c r="D93" i="1"/>
  <c r="E44" i="1"/>
  <c r="G148" i="1"/>
  <c r="K154" i="2"/>
  <c r="G213" i="1"/>
  <c r="E219" i="1"/>
  <c r="K171" i="2"/>
  <c r="H100" i="1"/>
  <c r="K46" i="2"/>
  <c r="E158" i="1"/>
  <c r="E31" i="1"/>
  <c r="F130" i="1"/>
  <c r="C132" i="1"/>
  <c r="F186" i="1"/>
  <c r="C282" i="1"/>
  <c r="F247" i="1"/>
  <c r="D191" i="1"/>
  <c r="H238" i="1"/>
  <c r="H159" i="1"/>
  <c r="F220" i="1"/>
  <c r="F127" i="1"/>
  <c r="K53" i="2"/>
  <c r="C167" i="1"/>
  <c r="F30" i="1"/>
  <c r="G238" i="1"/>
  <c r="E144" i="1"/>
  <c r="C158" i="1"/>
  <c r="F195" i="1"/>
  <c r="D139" i="1"/>
  <c r="H162" i="1"/>
  <c r="D12" i="1"/>
  <c r="C57" i="1"/>
  <c r="G198" i="1"/>
  <c r="E176" i="1"/>
  <c r="C260" i="1"/>
  <c r="K110" i="2"/>
  <c r="C253" i="1"/>
  <c r="F44" i="1"/>
  <c r="K176" i="2"/>
  <c r="K198" i="2"/>
  <c r="K36" i="2"/>
  <c r="C49" i="1"/>
  <c r="E255" i="1"/>
  <c r="L139" i="2"/>
  <c r="G118" i="1"/>
  <c r="G190" i="1"/>
  <c r="L102" i="2"/>
  <c r="K145" i="2"/>
  <c r="F147" i="1"/>
  <c r="L16" i="2"/>
  <c r="C140" i="1"/>
  <c r="F236" i="1"/>
  <c r="D4" i="1"/>
  <c r="K143" i="2"/>
  <c r="F181" i="1"/>
  <c r="C55" i="1"/>
  <c r="L15" i="2"/>
  <c r="D175" i="1"/>
  <c r="D49" i="1"/>
  <c r="L31" i="2"/>
  <c r="C177" i="1"/>
  <c r="G41" i="1"/>
  <c r="C51" i="1"/>
  <c r="G129" i="1"/>
  <c r="G5" i="1"/>
  <c r="G113" i="1"/>
  <c r="F258" i="1"/>
  <c r="L137" i="2"/>
  <c r="K148" i="2"/>
  <c r="D34" i="1"/>
  <c r="D199" i="1"/>
  <c r="F253" i="1"/>
  <c r="L12" i="2"/>
  <c r="K195" i="2"/>
  <c r="C211" i="1"/>
  <c r="G28" i="1"/>
  <c r="H278" i="1"/>
  <c r="D128" i="1"/>
  <c r="G168" i="1"/>
  <c r="D208" i="1"/>
  <c r="G163" i="1"/>
  <c r="E169" i="1"/>
  <c r="C153" i="1"/>
  <c r="E122" i="1"/>
  <c r="G202" i="1"/>
  <c r="G117" i="1"/>
  <c r="G271" i="1"/>
  <c r="E229" i="1"/>
  <c r="C213" i="1"/>
  <c r="F74" i="1"/>
  <c r="G212" i="1"/>
  <c r="L135" i="2"/>
  <c r="C204" i="1"/>
  <c r="F169" i="1"/>
  <c r="D161" i="1"/>
  <c r="F108" i="1"/>
  <c r="E132" i="1"/>
  <c r="L14" i="2"/>
  <c r="F135" i="1"/>
  <c r="D149" i="1"/>
  <c r="F24" i="1"/>
  <c r="G282" i="1"/>
  <c r="E260" i="1"/>
  <c r="C274" i="1"/>
  <c r="F287" i="1"/>
  <c r="D183" i="1"/>
  <c r="H33" i="1"/>
  <c r="H206" i="1"/>
  <c r="D56" i="1"/>
  <c r="F282" i="1"/>
  <c r="D136" i="1"/>
  <c r="L95" i="2"/>
  <c r="D287" i="1"/>
  <c r="L79" i="2"/>
  <c r="E50" i="1"/>
  <c r="L198" i="2"/>
  <c r="G45" i="1"/>
  <c r="F139" i="1"/>
  <c r="C239" i="1"/>
  <c r="F102" i="1"/>
  <c r="K61" i="2"/>
  <c r="E216" i="1"/>
  <c r="C230" i="1"/>
  <c r="F267" i="1"/>
  <c r="D211" i="1"/>
  <c r="H234" i="1"/>
  <c r="D84" i="1"/>
  <c r="H89" i="1"/>
  <c r="G270" i="1"/>
  <c r="E248" i="1"/>
  <c r="K93" i="2"/>
  <c r="F177" i="1"/>
  <c r="K187" i="2"/>
  <c r="F116" i="1"/>
  <c r="D66" i="1"/>
  <c r="F198" i="1"/>
  <c r="L152" i="2"/>
  <c r="C123" i="1"/>
  <c r="E20" i="1"/>
  <c r="L189" i="2"/>
  <c r="L108" i="2"/>
  <c r="G189" i="1"/>
  <c r="E195" i="1"/>
  <c r="L118" i="2"/>
  <c r="K159" i="2"/>
  <c r="G276" i="1"/>
  <c r="E134" i="1"/>
  <c r="E7" i="1"/>
  <c r="D205" i="1"/>
  <c r="L200" i="2"/>
  <c r="F10" i="1"/>
  <c r="K34" i="2"/>
  <c r="E268" i="1"/>
  <c r="C162" i="1"/>
  <c r="L148" i="2"/>
  <c r="C275" i="1"/>
  <c r="H187" i="1"/>
  <c r="D16" i="1"/>
  <c r="L27" i="2"/>
  <c r="F7" i="1"/>
  <c r="F235" i="1"/>
  <c r="K202" i="2"/>
  <c r="H178" i="1"/>
  <c r="H279" i="1"/>
  <c r="L161" i="2"/>
  <c r="K84" i="2"/>
  <c r="L125" i="2"/>
  <c r="L181" i="2"/>
  <c r="L73" i="2"/>
  <c r="C15" i="1"/>
  <c r="K105" i="2"/>
  <c r="F257" i="1"/>
  <c r="D273" i="1"/>
  <c r="L55" i="2"/>
  <c r="D96" i="1"/>
  <c r="F180" i="1"/>
  <c r="D226" i="1"/>
  <c r="G181" i="1"/>
  <c r="E235" i="1"/>
  <c r="L106" i="2"/>
  <c r="F101" i="1"/>
  <c r="E116" i="1"/>
  <c r="G220" i="1"/>
  <c r="E196" i="1"/>
  <c r="G285" i="1"/>
  <c r="K35" i="2"/>
  <c r="C203" i="1"/>
  <c r="F66" i="1"/>
  <c r="K167" i="2"/>
  <c r="E230" i="1"/>
  <c r="E103" i="1"/>
  <c r="D277" i="1"/>
  <c r="H204" i="1"/>
  <c r="H98" i="1"/>
  <c r="F208" i="1"/>
  <c r="D182" i="1"/>
  <c r="G137" i="1"/>
  <c r="E215" i="1"/>
  <c r="K165" i="2"/>
  <c r="H257" i="1"/>
  <c r="H248" i="1"/>
  <c r="F188" i="1"/>
  <c r="F168" i="1"/>
  <c r="D214" i="1"/>
  <c r="G239" i="1"/>
  <c r="L193" i="2"/>
  <c r="K13" i="2"/>
  <c r="E6" i="1"/>
  <c r="G158" i="1"/>
  <c r="L126" i="2"/>
  <c r="G273" i="1"/>
  <c r="C29" i="1"/>
  <c r="G246" i="1"/>
  <c r="E224" i="1"/>
  <c r="K57" i="2"/>
  <c r="F153" i="1"/>
  <c r="L25" i="2"/>
  <c r="F92" i="1"/>
  <c r="D42" i="1"/>
  <c r="F174" i="1"/>
  <c r="K108" i="2"/>
  <c r="C99" i="1"/>
  <c r="K146" i="2"/>
  <c r="E42" i="1"/>
  <c r="G264" i="1"/>
  <c r="L33" i="2"/>
  <c r="G259" i="1"/>
  <c r="D82" i="1"/>
  <c r="L9" i="2"/>
  <c r="L192" i="2"/>
  <c r="L114" i="2"/>
  <c r="C188" i="1"/>
  <c r="E269" i="1"/>
  <c r="C181" i="1"/>
  <c r="L179" i="2"/>
  <c r="K49" i="2"/>
  <c r="E256" i="1"/>
  <c r="C222" i="1"/>
  <c r="C97" i="1"/>
  <c r="G2" i="2"/>
  <c r="F32" i="1"/>
  <c r="G64" i="1"/>
  <c r="E218" i="1"/>
  <c r="C232" i="1"/>
  <c r="F197" i="1"/>
  <c r="D213" i="1"/>
  <c r="H188" i="1"/>
  <c r="C138" i="1"/>
  <c r="C26" i="1"/>
  <c r="F211" i="1"/>
  <c r="K160" i="2"/>
  <c r="H154" i="1"/>
  <c r="D122" i="1"/>
  <c r="E288" i="1"/>
  <c r="K48" i="2"/>
  <c r="L89" i="2"/>
  <c r="D283" i="1"/>
  <c r="L37" i="2"/>
  <c r="G62" i="1"/>
  <c r="G126" i="1"/>
  <c r="F240" i="1"/>
  <c r="D286" i="1"/>
  <c r="K164" i="2"/>
  <c r="E197" i="1"/>
  <c r="L121" i="2"/>
  <c r="E78" i="1"/>
  <c r="G230" i="1"/>
  <c r="E184" i="1"/>
  <c r="C150" i="1"/>
  <c r="E249" i="1"/>
  <c r="H158" i="1"/>
  <c r="D8" i="1"/>
  <c r="F234" i="1"/>
  <c r="K90" i="2"/>
  <c r="K23" i="2"/>
  <c r="D239" i="1"/>
  <c r="H286" i="1"/>
  <c r="C45" i="1"/>
  <c r="F268" i="1"/>
  <c r="H124" i="1"/>
  <c r="K192" i="2"/>
  <c r="K30" i="2"/>
  <c r="L71" i="2"/>
  <c r="E151" i="1"/>
  <c r="H196" i="1"/>
  <c r="D94" i="1"/>
  <c r="F250" i="1"/>
  <c r="D224" i="1"/>
  <c r="G227" i="1"/>
  <c r="E185" i="1"/>
  <c r="G200" i="1"/>
  <c r="L45" i="2"/>
  <c r="C144" i="1"/>
  <c r="F179" i="1"/>
  <c r="C207" i="1"/>
  <c r="H215" i="1"/>
  <c r="K88" i="2"/>
  <c r="E234" i="1"/>
  <c r="K39" i="2"/>
  <c r="F213" i="1"/>
  <c r="G241" i="1"/>
  <c r="H167" i="1"/>
  <c r="F286" i="1"/>
  <c r="L72" i="2"/>
  <c r="G165" i="1"/>
  <c r="E171" i="1"/>
  <c r="L82" i="2"/>
  <c r="E124" i="1"/>
  <c r="G252" i="1"/>
  <c r="L123" i="2"/>
  <c r="H22" i="1"/>
  <c r="D218" i="1"/>
  <c r="L155" i="2"/>
  <c r="E203" i="1"/>
  <c r="C185" i="1"/>
  <c r="E34" i="1"/>
  <c r="K163" i="2"/>
  <c r="L96" i="2"/>
  <c r="L26" i="2"/>
  <c r="K131" i="2"/>
  <c r="C219" i="1"/>
  <c r="G43" i="1"/>
  <c r="D130" i="1"/>
  <c r="F238" i="1"/>
  <c r="D282" i="1"/>
  <c r="L134" i="2"/>
  <c r="L190" i="2"/>
  <c r="H288" i="1"/>
  <c r="E76" i="1"/>
  <c r="G204" i="1"/>
  <c r="L51" i="2"/>
  <c r="D119" i="1"/>
  <c r="H185" i="1"/>
  <c r="K158" i="2"/>
  <c r="E226" i="1"/>
  <c r="K63" i="2"/>
  <c r="L101" i="2"/>
  <c r="D171" i="1"/>
  <c r="H146" i="1"/>
  <c r="D44" i="1"/>
  <c r="F200" i="1"/>
  <c r="D222" i="1"/>
  <c r="L162" i="2"/>
  <c r="H64" i="1"/>
  <c r="H254" i="1"/>
  <c r="D104" i="1"/>
  <c r="G144" i="1"/>
  <c r="D184" i="1"/>
  <c r="G139" i="1"/>
  <c r="E145" i="1"/>
  <c r="L167" i="2"/>
  <c r="E98" i="1"/>
  <c r="G178" i="1"/>
  <c r="G93" i="1"/>
  <c r="E159" i="1"/>
  <c r="H276" i="1"/>
  <c r="E64" i="1"/>
  <c r="F280" i="1"/>
  <c r="D254" i="1"/>
  <c r="G209" i="1"/>
  <c r="E287" i="1"/>
  <c r="C199" i="1"/>
  <c r="F38" i="1"/>
  <c r="F229" i="1"/>
  <c r="K40" i="2"/>
  <c r="E154" i="1"/>
  <c r="C240" i="1"/>
  <c r="F275" i="1"/>
  <c r="L28" i="2"/>
  <c r="F94" i="1"/>
  <c r="H253" i="1"/>
  <c r="K201" i="2"/>
  <c r="D150" i="1"/>
  <c r="L44" i="2"/>
  <c r="K67" i="2"/>
  <c r="E68" i="1"/>
  <c r="G172" i="1"/>
  <c r="E148" i="1"/>
  <c r="G237" i="1"/>
  <c r="E243" i="1"/>
  <c r="C155" i="1"/>
  <c r="F18" i="1"/>
  <c r="K82" i="2"/>
  <c r="E182" i="1"/>
  <c r="E55" i="1"/>
  <c r="K12" i="2"/>
  <c r="G197" i="1"/>
  <c r="E275" i="1"/>
  <c r="C257" i="1"/>
  <c r="E106" i="1"/>
  <c r="G186" i="1"/>
  <c r="E164" i="1"/>
  <c r="C178" i="1"/>
  <c r="F191" i="1"/>
  <c r="K10" i="2"/>
  <c r="L24" i="2"/>
  <c r="C266" i="1"/>
  <c r="L35" i="2"/>
  <c r="L196" i="2"/>
  <c r="H172" i="1"/>
  <c r="D70" i="1"/>
  <c r="F226" i="1"/>
  <c r="D200" i="1"/>
  <c r="G203" i="1"/>
  <c r="E161" i="1"/>
  <c r="C24" i="1"/>
  <c r="G222" i="1"/>
  <c r="E200" i="1"/>
  <c r="C284" i="1"/>
  <c r="K155" i="2"/>
  <c r="C277" i="1"/>
  <c r="F68" i="1"/>
  <c r="D18" i="1"/>
  <c r="F150" i="1"/>
  <c r="K72" i="2"/>
  <c r="C75" i="1"/>
  <c r="C172" i="1"/>
  <c r="K86" i="2"/>
  <c r="K153" i="2"/>
  <c r="H150" i="1"/>
  <c r="K58" i="2"/>
  <c r="E214" i="1"/>
  <c r="K45" i="2"/>
  <c r="F265" i="1"/>
  <c r="D257" i="1"/>
  <c r="H184" i="1"/>
  <c r="E101" i="1"/>
  <c r="G174" i="1"/>
  <c r="E152" i="1"/>
  <c r="C236" i="1"/>
  <c r="K74" i="2"/>
  <c r="C229" i="1"/>
  <c r="F20" i="1"/>
  <c r="K121" i="2"/>
  <c r="K137" i="2"/>
  <c r="C270" i="1"/>
  <c r="L11" i="2"/>
  <c r="K150" i="2"/>
  <c r="G275" i="1"/>
  <c r="H17" i="1"/>
  <c r="D100" i="1"/>
  <c r="E85" i="1"/>
  <c r="E61" i="1"/>
  <c r="C46" i="1"/>
  <c r="D221" i="1"/>
  <c r="D255" i="1"/>
  <c r="H114" i="1"/>
  <c r="H49" i="1"/>
  <c r="H30" i="1"/>
  <c r="C28" i="1"/>
  <c r="F61" i="1"/>
  <c r="G234" i="1"/>
  <c r="D125" i="1"/>
  <c r="G51" i="1"/>
  <c r="E225" i="1"/>
  <c r="H87" i="1"/>
  <c r="F266" i="1"/>
  <c r="D192" i="1"/>
  <c r="G219" i="1"/>
  <c r="K41" i="2"/>
  <c r="L88" i="2"/>
  <c r="E56" i="1"/>
  <c r="G208" i="1"/>
  <c r="L129" i="2"/>
  <c r="C176" i="1"/>
  <c r="K92" i="2"/>
  <c r="H139" i="1"/>
  <c r="H24" i="1"/>
  <c r="G268" i="1"/>
  <c r="E244" i="1"/>
  <c r="K203" i="2"/>
  <c r="K107" i="2"/>
  <c r="C251" i="1"/>
  <c r="F114" i="1"/>
  <c r="H52" i="1"/>
  <c r="E278" i="1"/>
  <c r="G50" i="1"/>
  <c r="C265" i="1"/>
  <c r="F8" i="1"/>
  <c r="C130" i="1"/>
  <c r="E194" i="1"/>
  <c r="C208" i="1"/>
  <c r="F173" i="1"/>
  <c r="D189" i="1"/>
  <c r="H164" i="1"/>
  <c r="D110" i="1"/>
  <c r="C37" i="1"/>
  <c r="F194" i="1"/>
  <c r="L140" i="2"/>
  <c r="G147" i="1"/>
  <c r="E223" i="1"/>
  <c r="H268" i="1"/>
  <c r="H8" i="1"/>
  <c r="G136" i="1"/>
  <c r="K21" i="2"/>
  <c r="L23" i="2"/>
  <c r="E257" i="1"/>
  <c r="C126" i="1"/>
  <c r="K37" i="2"/>
  <c r="E272" i="1"/>
  <c r="K129" i="2"/>
  <c r="F201" i="1"/>
  <c r="D145" i="1"/>
  <c r="H211" i="1"/>
  <c r="D90" i="1"/>
  <c r="F222" i="1"/>
  <c r="D148" i="1"/>
  <c r="L170" i="2"/>
  <c r="C244" i="1"/>
  <c r="F161" i="1"/>
  <c r="D177" i="1"/>
  <c r="H222" i="1"/>
  <c r="C11" i="1"/>
  <c r="E286" i="1"/>
  <c r="L168" i="2"/>
  <c r="L86" i="2"/>
  <c r="E139" i="1"/>
  <c r="H256" i="1"/>
  <c r="D266" i="1"/>
  <c r="G173" i="1"/>
  <c r="E251" i="1"/>
  <c r="C233" i="1"/>
  <c r="E82" i="1"/>
  <c r="G162" i="1"/>
  <c r="E140" i="1"/>
  <c r="C154" i="1"/>
  <c r="F167" i="1"/>
  <c r="C267" i="1"/>
  <c r="G91" i="1"/>
  <c r="K189" i="2"/>
  <c r="D166" i="1"/>
  <c r="G191" i="1"/>
  <c r="D267" i="1"/>
  <c r="H242" i="1"/>
  <c r="H207" i="1"/>
  <c r="L149" i="2"/>
  <c r="L54" i="2"/>
  <c r="G225" i="1"/>
  <c r="H6" i="1"/>
  <c r="L77" i="2"/>
  <c r="D227" i="1"/>
  <c r="H274" i="1"/>
  <c r="E60" i="1"/>
  <c r="F206" i="1"/>
  <c r="D180" i="1"/>
  <c r="G207" i="1"/>
  <c r="E213" i="1"/>
  <c r="C173" i="1"/>
  <c r="E94" i="1"/>
  <c r="H128" i="1"/>
  <c r="E274" i="1"/>
  <c r="K135" i="2"/>
  <c r="G143" i="1"/>
  <c r="D219" i="1"/>
  <c r="H194" i="1"/>
  <c r="D92" i="1"/>
  <c r="F248" i="1"/>
  <c r="D270" i="1"/>
  <c r="G177" i="1"/>
  <c r="C104" i="1"/>
  <c r="K139" i="2"/>
  <c r="D62" i="1"/>
  <c r="G193" i="1"/>
  <c r="L145" i="2"/>
  <c r="L104" i="2"/>
  <c r="D140" i="1"/>
  <c r="D89" i="1"/>
  <c r="D232" i="1"/>
  <c r="H225" i="1"/>
  <c r="G63" i="1"/>
  <c r="F117" i="1"/>
  <c r="G55" i="1"/>
  <c r="G72" i="1"/>
  <c r="D121" i="1"/>
  <c r="D263" i="1"/>
  <c r="C235" i="1"/>
  <c r="F140" i="1"/>
  <c r="C214" i="1"/>
  <c r="F76" i="1"/>
  <c r="F57" i="1"/>
  <c r="L22" i="2"/>
  <c r="H200" i="1"/>
  <c r="L39" i="2"/>
  <c r="D146" i="1"/>
  <c r="L38" i="2"/>
  <c r="L202" i="2"/>
  <c r="L127" i="2"/>
  <c r="H255" i="1"/>
  <c r="F228" i="1"/>
  <c r="D274" i="1"/>
  <c r="G229" i="1"/>
  <c r="E283" i="1"/>
  <c r="C147" i="1"/>
  <c r="L182" i="2"/>
  <c r="F288" i="1"/>
  <c r="L78" i="2"/>
  <c r="C164" i="1"/>
  <c r="E245" i="1"/>
  <c r="C157" i="1"/>
  <c r="E126" i="1"/>
  <c r="G278" i="1"/>
  <c r="E232" i="1"/>
  <c r="C198" i="1"/>
  <c r="H193" i="1"/>
  <c r="H209" i="1"/>
  <c r="G244" i="1"/>
  <c r="E220" i="1"/>
  <c r="L157" i="2"/>
  <c r="K71" i="2"/>
  <c r="C227" i="1"/>
  <c r="F90" i="1"/>
  <c r="H205" i="1"/>
  <c r="E254" i="1"/>
  <c r="E127" i="1"/>
  <c r="K69" i="2"/>
  <c r="F233" i="1"/>
  <c r="D249" i="1"/>
  <c r="K19" i="2"/>
  <c r="D72" i="1"/>
  <c r="F156" i="1"/>
  <c r="D202" i="1"/>
  <c r="G157" i="1"/>
  <c r="E211" i="1"/>
  <c r="L70" i="2"/>
  <c r="G248" i="1"/>
  <c r="L117" i="2"/>
  <c r="C192" i="1"/>
  <c r="F227" i="1"/>
  <c r="C255" i="1"/>
  <c r="F46" i="1"/>
  <c r="C96" i="1"/>
  <c r="E282" i="1"/>
  <c r="K111" i="2"/>
  <c r="F261" i="1"/>
  <c r="K161" i="2"/>
  <c r="K125" i="2"/>
  <c r="C215" i="1"/>
  <c r="F78" i="1"/>
  <c r="G286" i="1"/>
  <c r="E192" i="1"/>
  <c r="C206" i="1"/>
  <c r="F243" i="1"/>
  <c r="D187" i="1"/>
  <c r="H210" i="1"/>
  <c r="D60" i="1"/>
  <c r="K157" i="2"/>
  <c r="D275" i="1"/>
  <c r="L61" i="2"/>
  <c r="E108" i="1"/>
  <c r="F254" i="1"/>
  <c r="D228" i="1"/>
  <c r="G255" i="1"/>
  <c r="E261" i="1"/>
  <c r="C221" i="1"/>
  <c r="H233" i="1"/>
  <c r="E276" i="1"/>
  <c r="C242" i="1"/>
  <c r="F279" i="1"/>
  <c r="L141" i="2"/>
  <c r="H148" i="1"/>
  <c r="D46" i="1"/>
  <c r="F202" i="1"/>
  <c r="D176" i="1"/>
  <c r="G179" i="1"/>
  <c r="F183" i="1"/>
  <c r="L83" i="2"/>
  <c r="K26" i="2"/>
  <c r="D47" i="1"/>
  <c r="L187" i="2"/>
  <c r="G269" i="1"/>
  <c r="C250" i="1"/>
  <c r="G263" i="1"/>
  <c r="L20" i="2"/>
  <c r="F278" i="1"/>
  <c r="C220" i="1"/>
  <c r="K117" i="2"/>
  <c r="L175" i="2"/>
  <c r="D167" i="1"/>
  <c r="F196" i="1"/>
  <c r="D181" i="1"/>
  <c r="K162" i="2"/>
  <c r="K197" i="2"/>
  <c r="K18" i="2"/>
  <c r="G66" i="1"/>
  <c r="F231" i="1"/>
  <c r="G211" i="1"/>
  <c r="E162" i="1"/>
  <c r="E70" i="1"/>
  <c r="H231" i="1"/>
  <c r="C20" i="1"/>
  <c r="G48" i="1"/>
  <c r="G119" i="1"/>
  <c r="G12" i="1"/>
  <c r="E53" i="1"/>
  <c r="H147" i="1"/>
  <c r="D9" i="1"/>
  <c r="H247" i="1"/>
  <c r="L43" i="2"/>
  <c r="G39" i="1"/>
  <c r="G105" i="1"/>
  <c r="F70" i="1"/>
  <c r="F252" i="1"/>
  <c r="E51" i="1"/>
  <c r="C127" i="1"/>
  <c r="L130" i="2"/>
  <c r="E201" i="1"/>
  <c r="D67" i="1"/>
  <c r="G261" i="1"/>
  <c r="E79" i="1"/>
  <c r="H60" i="1"/>
  <c r="F45" i="1"/>
  <c r="G122" i="1"/>
  <c r="E81" i="1"/>
  <c r="D258" i="1"/>
  <c r="K15" i="2"/>
  <c r="E86" i="1"/>
  <c r="C88" i="1"/>
  <c r="H76" i="1"/>
  <c r="H272" i="1"/>
  <c r="K73" i="2"/>
  <c r="D114" i="1"/>
  <c r="F99" i="1"/>
  <c r="G61" i="1"/>
  <c r="G9" i="1"/>
  <c r="F63" i="1"/>
  <c r="D247" i="1"/>
  <c r="C205" i="1"/>
  <c r="D45" i="1"/>
  <c r="C69" i="1"/>
  <c r="C111" i="1"/>
  <c r="H90" i="1"/>
  <c r="C101" i="1"/>
  <c r="C263" i="1"/>
  <c r="D235" i="1"/>
  <c r="D115" i="1"/>
  <c r="E71" i="1"/>
  <c r="E19" i="1"/>
  <c r="D79" i="1"/>
  <c r="D236" i="1"/>
  <c r="G281" i="1"/>
  <c r="K31" i="2"/>
  <c r="H273" i="1"/>
  <c r="D99" i="1"/>
  <c r="C166" i="1"/>
  <c r="H46" i="1"/>
  <c r="E266" i="1"/>
  <c r="C74" i="1"/>
  <c r="G111" i="1"/>
  <c r="H18" i="1"/>
  <c r="G103" i="1"/>
  <c r="H249" i="1"/>
  <c r="F53" i="1"/>
  <c r="L159" i="2"/>
  <c r="G131" i="1"/>
  <c r="E157" i="1"/>
  <c r="H165" i="1"/>
  <c r="E67" i="1"/>
  <c r="G127" i="1"/>
  <c r="K172" i="2"/>
  <c r="E198" i="1"/>
  <c r="E246" i="1"/>
  <c r="E160" i="1"/>
  <c r="D124" i="1"/>
  <c r="D10" i="1"/>
  <c r="D68" i="1"/>
  <c r="C70" i="1"/>
  <c r="D28" i="1"/>
  <c r="L172" i="2"/>
  <c r="L124" i="2"/>
  <c r="H130" i="1"/>
  <c r="H36" i="1"/>
  <c r="C25" i="1"/>
  <c r="D78" i="1"/>
  <c r="C110" i="1"/>
  <c r="C286" i="1"/>
  <c r="K100" i="2"/>
  <c r="K43" i="2"/>
  <c r="H166" i="1"/>
  <c r="F25" i="1"/>
  <c r="H270" i="1"/>
  <c r="H111" i="1"/>
  <c r="C68" i="1"/>
  <c r="G206" i="1"/>
  <c r="C73" i="1"/>
  <c r="K128" i="2"/>
  <c r="D234" i="1"/>
  <c r="D268" i="1"/>
  <c r="D278" i="1"/>
  <c r="G247" i="1"/>
  <c r="C180" i="1"/>
  <c r="K186" i="2"/>
  <c r="F270" i="1"/>
  <c r="L147" i="2"/>
  <c r="H107" i="1"/>
  <c r="F22" i="1"/>
  <c r="F144" i="1"/>
  <c r="L204" i="2"/>
  <c r="D102" i="1"/>
  <c r="K52" i="2"/>
  <c r="F189" i="1"/>
  <c r="L21" i="2"/>
  <c r="D269" i="1"/>
  <c r="K20" i="2"/>
  <c r="C248" i="1"/>
  <c r="L195" i="2"/>
  <c r="D54" i="1"/>
  <c r="F175" i="1"/>
  <c r="K166" i="2"/>
  <c r="C100" i="1"/>
  <c r="K156" i="2"/>
  <c r="G87" i="1"/>
  <c r="F43" i="1"/>
  <c r="D73" i="1"/>
  <c r="F207" i="1"/>
  <c r="L199" i="2"/>
  <c r="G121" i="1"/>
  <c r="L94" i="2"/>
  <c r="G11" i="1"/>
  <c r="E26" i="1"/>
  <c r="E97" i="1"/>
  <c r="D59" i="1"/>
  <c r="K24" i="2"/>
  <c r="H241" i="1"/>
  <c r="C21" i="1"/>
  <c r="H117" i="1"/>
  <c r="G110" i="1"/>
  <c r="E62" i="1"/>
  <c r="D48" i="1"/>
  <c r="H9" i="1"/>
  <c r="E49" i="1"/>
  <c r="D109" i="1"/>
  <c r="E41" i="1"/>
  <c r="H88" i="1"/>
  <c r="F122" i="1"/>
  <c r="H136" i="1"/>
  <c r="H77" i="1"/>
  <c r="H69" i="1"/>
  <c r="H109" i="1"/>
  <c r="K98" i="2"/>
  <c r="E119" i="1"/>
  <c r="D127" i="1"/>
  <c r="D75" i="1"/>
  <c r="F35" i="1"/>
  <c r="E13" i="1"/>
  <c r="D262" i="1"/>
  <c r="G100" i="1"/>
  <c r="F52" i="1"/>
  <c r="D31" i="1"/>
  <c r="H152" i="1"/>
  <c r="C34" i="1"/>
  <c r="H224" i="1"/>
  <c r="E45" i="1"/>
  <c r="F33" i="1"/>
  <c r="E72" i="1"/>
  <c r="F260" i="1"/>
  <c r="H267" i="1"/>
  <c r="C231" i="1"/>
  <c r="D22" i="1"/>
  <c r="D19" i="1"/>
  <c r="G20" i="1"/>
  <c r="D164" i="1"/>
  <c r="G23" i="1"/>
  <c r="K194" i="2"/>
  <c r="D197" i="1"/>
  <c r="D231" i="1"/>
  <c r="D241" i="1"/>
  <c r="H230" i="1"/>
  <c r="L115" i="2"/>
  <c r="K119" i="2"/>
  <c r="F263" i="1"/>
  <c r="E149" i="1"/>
  <c r="H179" i="1"/>
  <c r="D252" i="1"/>
  <c r="F137" i="1"/>
  <c r="L50" i="2"/>
  <c r="F162" i="1"/>
  <c r="E143" i="1"/>
  <c r="E137" i="1"/>
  <c r="D264" i="1"/>
  <c r="G214" i="1"/>
  <c r="D116" i="1"/>
  <c r="G155" i="1"/>
  <c r="E228" i="1"/>
  <c r="G216" i="1"/>
  <c r="E104" i="1"/>
  <c r="H260" i="1"/>
  <c r="H16" i="1"/>
  <c r="D141" i="1"/>
  <c r="H181" i="1"/>
  <c r="D107" i="1"/>
  <c r="C30" i="1"/>
  <c r="G192" i="1"/>
  <c r="G46" i="1"/>
  <c r="E38" i="1"/>
  <c r="H115" i="1"/>
  <c r="G78" i="1"/>
  <c r="F239" i="1"/>
  <c r="H94" i="1"/>
  <c r="K170" i="2"/>
  <c r="H153" i="1"/>
  <c r="H142" i="1"/>
  <c r="D53" i="1"/>
  <c r="F69" i="1"/>
  <c r="G7" i="1"/>
  <c r="G47" i="1"/>
  <c r="G52" i="1"/>
  <c r="E267" i="1"/>
  <c r="H219" i="1"/>
  <c r="H217" i="1"/>
  <c r="G34" i="1"/>
  <c r="C109" i="1"/>
  <c r="E16" i="1"/>
  <c r="L98" i="2"/>
  <c r="D95" i="1"/>
  <c r="H271" i="1"/>
  <c r="F21" i="1"/>
  <c r="H175" i="1"/>
  <c r="H239" i="1"/>
  <c r="L18" i="2"/>
  <c r="F246" i="1"/>
  <c r="C71" i="1"/>
  <c r="D15" i="1"/>
  <c r="C63" i="1"/>
  <c r="H68" i="1"/>
  <c r="H40" i="1"/>
  <c r="H118" i="1"/>
  <c r="C124" i="1"/>
  <c r="D271" i="1"/>
  <c r="F124" i="1"/>
  <c r="C82" i="1"/>
  <c r="F232" i="1"/>
  <c r="F126" i="1"/>
  <c r="H258" i="1"/>
  <c r="G266" i="1"/>
  <c r="G145" i="1"/>
  <c r="G170" i="1"/>
  <c r="D51" i="1"/>
  <c r="E231" i="1"/>
  <c r="L136" i="2"/>
  <c r="H177" i="1"/>
  <c r="H99" i="1"/>
  <c r="H47" i="1"/>
  <c r="G101" i="1"/>
  <c r="C151" i="1"/>
  <c r="C280" i="1"/>
  <c r="F5" i="1"/>
  <c r="D65" i="1"/>
  <c r="H169" i="1"/>
  <c r="D57" i="1"/>
  <c r="D97" i="1"/>
  <c r="H75" i="1"/>
  <c r="C22" i="1"/>
  <c r="G56" i="1"/>
  <c r="H51" i="1"/>
  <c r="K78" i="2"/>
  <c r="L120" i="2"/>
  <c r="H44" i="1"/>
  <c r="E252" i="1"/>
  <c r="E199" i="1"/>
  <c r="G226" i="1"/>
  <c r="C65" i="1"/>
  <c r="D35" i="1"/>
  <c r="H176" i="1"/>
  <c r="D39" i="1"/>
  <c r="H141" i="1"/>
  <c r="H221" i="1"/>
  <c r="G130" i="1"/>
  <c r="F77" i="1"/>
  <c r="D30" i="1"/>
  <c r="H183" i="1"/>
  <c r="H284" i="1"/>
  <c r="F71" i="1"/>
  <c r="H155" i="1"/>
  <c r="G73" i="1"/>
  <c r="G124" i="1"/>
  <c r="H199" i="1"/>
  <c r="C53" i="1"/>
  <c r="L62" i="2"/>
  <c r="D71" i="1"/>
  <c r="G233" i="1"/>
  <c r="E205" i="1"/>
  <c r="F145" i="1"/>
  <c r="D162" i="1"/>
  <c r="D196" i="1"/>
  <c r="K200" i="2"/>
  <c r="G224" i="1"/>
  <c r="K124" i="2"/>
  <c r="D190" i="1"/>
  <c r="L90" i="2"/>
  <c r="F155" i="1"/>
  <c r="C249" i="1"/>
  <c r="H74" i="1"/>
  <c r="C218" i="1"/>
  <c r="K174" i="2"/>
  <c r="G280" i="1"/>
  <c r="H138" i="1"/>
  <c r="D157" i="1"/>
  <c r="K180" i="2"/>
  <c r="H191" i="1"/>
  <c r="H78" i="1"/>
  <c r="F55" i="1"/>
  <c r="D272" i="1"/>
  <c r="G44" i="1"/>
  <c r="C12" i="1"/>
  <c r="D25" i="1"/>
  <c r="F96" i="1"/>
  <c r="E99" i="1"/>
  <c r="H126" i="1"/>
  <c r="E63" i="1"/>
  <c r="L84" i="2"/>
  <c r="D135" i="1"/>
  <c r="C90" i="1"/>
  <c r="H227" i="1"/>
  <c r="F91" i="1"/>
  <c r="D40" i="1"/>
  <c r="H125" i="1"/>
  <c r="C134" i="1"/>
  <c r="E65" i="1"/>
  <c r="E105" i="1"/>
  <c r="D81" i="1"/>
  <c r="F132" i="1"/>
  <c r="H39" i="1"/>
  <c r="E109" i="1"/>
  <c r="H63" i="1"/>
  <c r="E107" i="1"/>
  <c r="C43" i="1"/>
  <c r="G260" i="1"/>
  <c r="L185" i="2"/>
  <c r="E25" i="1"/>
  <c r="D85" i="1"/>
  <c r="E17" i="1"/>
  <c r="E57" i="1"/>
  <c r="C141" i="1"/>
  <c r="L13" i="2"/>
  <c r="F131" i="1"/>
  <c r="D284" i="1"/>
  <c r="H48" i="1"/>
  <c r="F107" i="1"/>
  <c r="F283" i="1"/>
  <c r="G159" i="1"/>
  <c r="H7" i="1"/>
  <c r="L188" i="2"/>
  <c r="H95" i="1"/>
  <c r="G10" i="1"/>
  <c r="H62" i="1"/>
  <c r="G287" i="1"/>
  <c r="K185" i="2"/>
  <c r="C122" i="1"/>
  <c r="C16" i="1"/>
  <c r="C112" i="1"/>
  <c r="C27" i="1"/>
  <c r="E250" i="1"/>
  <c r="F224" i="1"/>
  <c r="F27" i="1"/>
  <c r="H42" i="1"/>
  <c r="F115" i="1"/>
  <c r="H14" i="1"/>
  <c r="F59" i="1"/>
  <c r="E80" i="1"/>
  <c r="C67" i="1"/>
  <c r="L32" i="2"/>
  <c r="G123" i="1"/>
  <c r="H66" i="1"/>
  <c r="C115" i="1"/>
  <c r="E69" i="1"/>
  <c r="H113" i="1"/>
  <c r="G232" i="1"/>
  <c r="H12" i="1"/>
  <c r="D133" i="1"/>
  <c r="H143" i="1"/>
  <c r="F120" i="1"/>
  <c r="F285" i="1"/>
  <c r="C107" i="1"/>
  <c r="G180" i="1"/>
  <c r="G94" i="1"/>
  <c r="G125" i="1"/>
  <c r="C163" i="1"/>
  <c r="G156" i="1"/>
  <c r="C108" i="1"/>
  <c r="E146" i="1"/>
  <c r="G71" i="1"/>
  <c r="H93" i="1"/>
  <c r="H31" i="1"/>
  <c r="E9" i="1"/>
  <c r="H116" i="1"/>
  <c r="E239" i="1"/>
  <c r="F72" i="1"/>
  <c r="H81" i="1"/>
  <c r="H216" i="1"/>
  <c r="D80" i="1"/>
  <c r="E74" i="1"/>
  <c r="K193" i="2"/>
  <c r="D159" i="1"/>
  <c r="L49" i="2"/>
  <c r="G151" i="1"/>
  <c r="G279" i="1"/>
  <c r="D153" i="1"/>
  <c r="L178" i="2"/>
  <c r="F136" i="1"/>
  <c r="H214" i="1"/>
  <c r="H35" i="1"/>
  <c r="C143" i="1"/>
  <c r="D243" i="1"/>
  <c r="F178" i="1"/>
  <c r="E48" i="1"/>
  <c r="L67" i="2"/>
  <c r="K113" i="2"/>
  <c r="F269" i="1"/>
  <c r="D64" i="1"/>
  <c r="C259" i="1"/>
  <c r="H163" i="1"/>
  <c r="H27" i="1"/>
  <c r="G79" i="1"/>
  <c r="D206" i="1"/>
  <c r="G187" i="1"/>
  <c r="H112" i="1"/>
  <c r="C89" i="1"/>
  <c r="G16" i="1"/>
  <c r="H182" i="1"/>
  <c r="G21" i="1"/>
  <c r="G76" i="1"/>
  <c r="G31" i="1"/>
  <c r="D170" i="1"/>
  <c r="K59" i="2"/>
  <c r="G15" i="1"/>
  <c r="H263" i="1"/>
  <c r="G22" i="1"/>
  <c r="C23" i="1"/>
  <c r="C102" i="1"/>
  <c r="C179" i="1"/>
  <c r="E110" i="1"/>
  <c r="C262" i="1"/>
  <c r="K80" i="2"/>
  <c r="D14" i="1"/>
  <c r="H86" i="1"/>
  <c r="L10" i="2"/>
  <c r="D117" i="1"/>
  <c r="C117" i="1"/>
  <c r="D11" i="1"/>
  <c r="C85" i="1"/>
  <c r="K177" i="2"/>
  <c r="D138" i="1"/>
  <c r="D172" i="1"/>
  <c r="D50" i="1"/>
  <c r="C64" i="1"/>
  <c r="D26" i="1"/>
  <c r="F4" i="1"/>
  <c r="G150" i="1"/>
  <c r="K85" i="2"/>
  <c r="F75" i="1"/>
  <c r="G37" i="1"/>
  <c r="H261" i="1"/>
  <c r="F39" i="1"/>
  <c r="D151" i="1"/>
  <c r="K97" i="2"/>
  <c r="D108" i="1"/>
  <c r="H5" i="1"/>
  <c r="G59" i="1"/>
  <c r="H122" i="1"/>
  <c r="H37" i="1"/>
  <c r="L100" i="2"/>
  <c r="C271" i="1"/>
  <c r="D91" i="1"/>
  <c r="E47" i="1"/>
  <c r="H110" i="1"/>
  <c r="D55" i="1"/>
  <c r="H23" i="1"/>
  <c r="F245" i="1"/>
  <c r="K60" i="2"/>
  <c r="G18" i="1"/>
  <c r="G194" i="1"/>
  <c r="E273" i="1"/>
  <c r="H157" i="1"/>
  <c r="F17" i="1"/>
  <c r="K168" i="2"/>
  <c r="D38" i="1"/>
  <c r="G75" i="1"/>
  <c r="G89" i="1"/>
  <c r="G95" i="1"/>
  <c r="K106" i="2"/>
  <c r="C118" i="1"/>
  <c r="F23" i="1"/>
  <c r="L146" i="2"/>
  <c r="L173" i="2"/>
  <c r="K17" i="2"/>
  <c r="D105" i="1"/>
  <c r="L99" i="2"/>
  <c r="G167" i="1"/>
  <c r="C86" i="1"/>
  <c r="F151" i="1"/>
  <c r="G58" i="1"/>
  <c r="H92" i="1"/>
  <c r="F51" i="1"/>
  <c r="K77" i="2"/>
  <c r="D265" i="1"/>
  <c r="E183" i="1"/>
  <c r="K65" i="2"/>
  <c r="C189" i="1"/>
  <c r="D137" i="1"/>
  <c r="F249" i="1"/>
  <c r="C5" i="1"/>
  <c r="K104" i="2"/>
  <c r="L81" i="2"/>
  <c r="E258" i="1"/>
  <c r="G215" i="1"/>
  <c r="G249" i="1"/>
  <c r="C258" i="1"/>
  <c r="E210" i="1"/>
  <c r="F103" i="1"/>
  <c r="F128" i="1"/>
  <c r="C159" i="1"/>
  <c r="F171" i="1"/>
  <c r="G201" i="1"/>
  <c r="F58" i="1"/>
  <c r="D245" i="1"/>
  <c r="E217" i="1"/>
  <c r="C224" i="1"/>
  <c r="H129" i="1"/>
  <c r="E233" i="1"/>
  <c r="F95" i="1"/>
  <c r="D33" i="1"/>
  <c r="C120" i="1"/>
  <c r="E193" i="1"/>
  <c r="G90" i="1"/>
  <c r="D260" i="1"/>
  <c r="D101" i="1"/>
  <c r="D32" i="1"/>
  <c r="H105" i="1"/>
  <c r="D111" i="1"/>
  <c r="E89" i="1"/>
  <c r="F34" i="1"/>
  <c r="C171" i="1"/>
  <c r="E73" i="1"/>
  <c r="C78" i="1"/>
  <c r="G25" i="1"/>
  <c r="C8" i="1"/>
  <c r="K33" i="2"/>
  <c r="D178" i="1"/>
  <c r="H79" i="1"/>
  <c r="C42" i="1"/>
  <c r="H50" i="1"/>
  <c r="H43" i="1"/>
  <c r="D188" i="1"/>
  <c r="E166" i="1"/>
  <c r="C7" i="1"/>
  <c r="G30" i="1"/>
  <c r="G97" i="1"/>
  <c r="C47" i="1"/>
  <c r="G27" i="1"/>
  <c r="C31" i="1"/>
  <c r="F36" i="1"/>
  <c r="H53" i="1"/>
  <c r="G107" i="1"/>
  <c r="H45" i="1"/>
  <c r="H85" i="1"/>
  <c r="D179" i="1"/>
  <c r="E165" i="1"/>
  <c r="H195" i="1"/>
  <c r="E95" i="1"/>
  <c r="E43" i="1"/>
  <c r="D103" i="1"/>
  <c r="E23" i="1"/>
  <c r="E173" i="1"/>
  <c r="C32" i="1"/>
  <c r="F73" i="1"/>
  <c r="E117" i="1"/>
  <c r="F65" i="1"/>
  <c r="F105" i="1"/>
  <c r="K99" i="2"/>
  <c r="D246" i="1"/>
  <c r="G70" i="1"/>
  <c r="C56" i="1"/>
  <c r="H149" i="1"/>
  <c r="C114" i="1"/>
  <c r="G53" i="1"/>
  <c r="E136" i="1"/>
  <c r="K178" i="2"/>
  <c r="H20" i="1"/>
  <c r="H103" i="1"/>
  <c r="F214" i="1"/>
  <c r="H144" i="1"/>
  <c r="F89" i="1"/>
  <c r="L66" i="2"/>
  <c r="G161" i="1"/>
  <c r="L180" i="2"/>
  <c r="K96" i="2"/>
  <c r="G267" i="1"/>
  <c r="C52" i="1"/>
  <c r="C38" i="1"/>
  <c r="H101" i="1"/>
  <c r="K183" i="2"/>
  <c r="H119" i="1"/>
  <c r="D37" i="1"/>
  <c r="F13" i="1"/>
  <c r="H97" i="1"/>
  <c r="K91" i="2"/>
  <c r="D58" i="1"/>
  <c r="E4" i="1"/>
  <c r="L183" i="2"/>
  <c r="G154" i="1"/>
  <c r="C9" i="1"/>
  <c r="G272" i="1"/>
  <c r="E30" i="1"/>
  <c r="L160" i="2"/>
  <c r="E285" i="1"/>
  <c r="H198" i="1"/>
  <c r="H232" i="1"/>
  <c r="C183" i="1"/>
  <c r="L40" i="2"/>
  <c r="F205" i="1"/>
  <c r="D142" i="1"/>
  <c r="H259" i="1"/>
  <c r="L184" i="2"/>
  <c r="F165" i="1"/>
  <c r="D240" i="1"/>
  <c r="K9" i="2"/>
  <c r="K184" i="2"/>
  <c r="K175" i="2"/>
  <c r="H265" i="1"/>
  <c r="H131" i="1"/>
  <c r="G112" i="1"/>
  <c r="C81" i="1"/>
  <c r="L142" i="2"/>
  <c r="K204" i="2"/>
  <c r="F157" i="1"/>
  <c r="C62" i="1"/>
  <c r="K8" i="2"/>
  <c r="K83" i="2"/>
  <c r="E29" i="1"/>
  <c r="E35" i="1"/>
  <c r="H38" i="1"/>
  <c r="K70" i="2"/>
  <c r="F31" i="1"/>
  <c r="G74" i="1"/>
  <c r="L143" i="2"/>
  <c r="K140" i="2"/>
  <c r="E11" i="1"/>
  <c r="E92" i="1"/>
  <c r="F42" i="1"/>
  <c r="L8" i="2"/>
  <c r="G109" i="1"/>
  <c r="G57" i="1"/>
  <c r="F111" i="1"/>
  <c r="L68" i="2"/>
  <c r="H264" i="1"/>
  <c r="D52" i="1"/>
  <c r="G169" i="1"/>
  <c r="D223" i="1"/>
  <c r="H229" i="1"/>
  <c r="F85" i="1"/>
  <c r="F225" i="1"/>
  <c r="G108" i="1"/>
  <c r="F121" i="1"/>
  <c r="H84" i="1"/>
  <c r="F113" i="1"/>
  <c r="G40" i="1"/>
  <c r="L166" i="2"/>
  <c r="E280" i="1"/>
  <c r="C39" i="1"/>
  <c r="C91" i="1"/>
  <c r="G8" i="1"/>
  <c r="L186" i="2"/>
  <c r="L191" i="2"/>
  <c r="E240" i="1"/>
  <c r="F125" i="1"/>
  <c r="H171" i="1"/>
  <c r="D13" i="1"/>
  <c r="D129" i="1"/>
  <c r="H32" i="1"/>
  <c r="H161" i="1"/>
  <c r="F110" i="1"/>
  <c r="F164" i="1"/>
  <c r="K116" i="2"/>
  <c r="E270" i="1"/>
  <c r="H26" i="1"/>
  <c r="D261" i="1"/>
  <c r="C201" i="1"/>
  <c r="C129" i="1"/>
  <c r="C116" i="1"/>
  <c r="C139" i="1"/>
  <c r="H123" i="1"/>
  <c r="C35" i="1"/>
  <c r="K109" i="2"/>
  <c r="L164" i="2"/>
  <c r="K51" i="2"/>
  <c r="E113" i="1"/>
  <c r="F212" i="1"/>
  <c r="G199" i="1"/>
  <c r="G54" i="1"/>
  <c r="H170" i="1"/>
  <c r="C76" i="1"/>
  <c r="H240" i="1"/>
  <c r="K28" i="2"/>
  <c r="C223" i="1"/>
  <c r="F50" i="1"/>
  <c r="F84" i="1"/>
  <c r="D193" i="1"/>
  <c r="C193" i="1"/>
  <c r="K181" i="2"/>
  <c r="C168" i="1"/>
  <c r="K75" i="2"/>
  <c r="K136" i="2"/>
  <c r="E37" i="1"/>
  <c r="K123" i="2"/>
  <c r="F40" i="1"/>
  <c r="C13" i="1"/>
  <c r="K11" i="2"/>
  <c r="K142" i="2"/>
  <c r="F272" i="1"/>
  <c r="K173" i="2"/>
  <c r="C194" i="1"/>
  <c r="D256" i="1"/>
  <c r="G256" i="1"/>
  <c r="E24" i="1"/>
  <c r="F170" i="1"/>
  <c r="C142" i="1"/>
  <c r="H73" i="1"/>
  <c r="H203" i="1"/>
  <c r="H275" i="1"/>
  <c r="K114" i="2"/>
  <c r="E121" i="1"/>
  <c r="F19" i="1"/>
  <c r="H15" i="1"/>
  <c r="K141" i="2"/>
  <c r="H127" i="1"/>
  <c r="H25" i="1"/>
  <c r="H91" i="1"/>
  <c r="E155" i="1"/>
  <c r="H57" i="1"/>
  <c r="F109" i="1"/>
  <c r="C14" i="1"/>
  <c r="H67" i="1"/>
  <c r="C136" i="1"/>
  <c r="F209" i="1"/>
  <c r="G133" i="1"/>
  <c r="E27" i="1"/>
  <c r="H106" i="1"/>
  <c r="E115" i="1"/>
  <c r="H82" i="1"/>
  <c r="K182" i="2"/>
  <c r="C252" i="1"/>
  <c r="H55" i="1"/>
  <c r="C18" i="1"/>
  <c r="H251" i="1"/>
  <c r="H19" i="1"/>
  <c r="C216" i="1"/>
  <c r="G140" i="1"/>
  <c r="G115" i="1"/>
  <c r="C17" i="1"/>
  <c r="D61" i="1"/>
  <c r="H96" i="1"/>
  <c r="E33" i="1"/>
  <c r="H226" i="1"/>
  <c r="L158" i="2"/>
  <c r="D123" i="1"/>
  <c r="C238" i="1"/>
  <c r="C103" i="1"/>
  <c r="E59" i="1"/>
  <c r="C60" i="1"/>
  <c r="L85" i="2"/>
  <c r="C121" i="1"/>
  <c r="C33" i="1"/>
  <c r="C87" i="1"/>
  <c r="E222" i="1"/>
  <c r="C77" i="1"/>
  <c r="K138" i="2"/>
  <c r="G153" i="1"/>
  <c r="C92" i="1"/>
  <c r="H72" i="1"/>
  <c r="C84" i="1"/>
  <c r="H137" i="1"/>
  <c r="D216" i="1"/>
  <c r="E138" i="1"/>
  <c r="L197" i="2"/>
  <c r="F119" i="1"/>
  <c r="F67" i="1"/>
  <c r="E111" i="1"/>
  <c r="L58" i="2"/>
  <c r="G35" i="1"/>
  <c r="F80" i="1"/>
  <c r="D43" i="1"/>
  <c r="D131" i="1"/>
  <c r="D7" i="1"/>
  <c r="C200" i="1"/>
  <c r="G99" i="1"/>
  <c r="C146" i="1"/>
  <c r="L131" i="2"/>
  <c r="D238" i="1"/>
  <c r="E262" i="1"/>
  <c r="E128" i="1"/>
  <c r="D134" i="1"/>
  <c r="L59" i="2"/>
  <c r="E206" i="1"/>
  <c r="H145" i="1"/>
  <c r="C283" i="1"/>
  <c r="F163" i="1"/>
  <c r="D113" i="1"/>
  <c r="F190" i="1"/>
  <c r="E265" i="1"/>
  <c r="D279" i="1"/>
  <c r="E212" i="1"/>
  <c r="L34" i="2"/>
  <c r="F11" i="1"/>
  <c r="H102" i="1"/>
  <c r="G13" i="1"/>
  <c r="H285" i="1"/>
  <c r="K149" i="2"/>
  <c r="F166" i="1"/>
  <c r="L201" i="2"/>
  <c r="D160" i="1"/>
  <c r="G69" i="1"/>
  <c r="G258" i="1"/>
  <c r="F192" i="1"/>
  <c r="G182" i="1"/>
  <c r="L97" i="2"/>
  <c r="C245" i="1"/>
  <c r="K130" i="2"/>
  <c r="G176" i="1"/>
  <c r="F223" i="1"/>
  <c r="D112" i="1"/>
  <c r="G217" i="1"/>
  <c r="F255" i="1"/>
  <c r="K87" i="2"/>
  <c r="E186" i="1"/>
  <c r="K103" i="2"/>
  <c r="F104" i="1"/>
  <c r="C210" i="1"/>
  <c r="F154" i="1"/>
  <c r="G250" i="1"/>
  <c r="C217" i="1"/>
  <c r="F133" i="1"/>
  <c r="H223" i="1"/>
  <c r="G29" i="1"/>
  <c r="H65" i="1"/>
  <c r="H281" i="1"/>
  <c r="D17" i="1"/>
  <c r="D83" i="1"/>
  <c r="E129" i="1"/>
  <c r="K126" i="2"/>
  <c r="G17" i="1"/>
  <c r="F93" i="1"/>
  <c r="G106" i="1"/>
  <c r="C137" i="1"/>
  <c r="E5" i="1"/>
  <c r="C66" i="1"/>
  <c r="G81" i="1"/>
  <c r="H151" i="1"/>
  <c r="G120" i="1"/>
  <c r="G196" i="1"/>
  <c r="K118" i="2"/>
  <c r="C119" i="1"/>
  <c r="D63" i="1"/>
  <c r="H54" i="1"/>
  <c r="C83" i="1"/>
  <c r="D106" i="1"/>
  <c r="E52" i="1"/>
  <c r="F123" i="1"/>
  <c r="G85" i="1"/>
  <c r="G33" i="1"/>
  <c r="F87" i="1"/>
  <c r="L75" i="2"/>
  <c r="D169" i="1"/>
  <c r="D69" i="1"/>
  <c r="C93" i="1"/>
  <c r="G38" i="1"/>
  <c r="C61" i="1"/>
  <c r="C125" i="1"/>
  <c r="C212" i="1"/>
  <c r="C246" i="1"/>
  <c r="G116" i="1"/>
  <c r="C40" i="1"/>
  <c r="H277" i="1"/>
  <c r="D98" i="1"/>
  <c r="C10" i="1"/>
  <c r="C254" i="1"/>
  <c r="C79" i="1"/>
  <c r="C6" i="1"/>
  <c r="E83" i="1"/>
  <c r="D212" i="1"/>
  <c r="D29" i="1"/>
  <c r="G166" i="1"/>
  <c r="E150" i="1"/>
  <c r="G102" i="1"/>
  <c r="G32" i="1"/>
  <c r="H13" i="1"/>
  <c r="H236" i="1"/>
  <c r="H287" i="1"/>
  <c r="C4" i="1"/>
  <c r="D77" i="1"/>
  <c r="F83" i="1"/>
  <c r="D244" i="1"/>
  <c r="G132" i="1"/>
  <c r="L56" i="2"/>
  <c r="F141" i="1"/>
  <c r="E204" i="1"/>
  <c r="C133" i="1"/>
  <c r="F251" i="1"/>
  <c r="C95" i="1"/>
  <c r="F97" i="1"/>
  <c r="L111" i="2"/>
  <c r="C190" i="1"/>
  <c r="L163" i="2"/>
  <c r="E153" i="1"/>
  <c r="C48" i="1"/>
  <c r="D87" i="1"/>
  <c r="D209" i="1"/>
  <c r="F158" i="1"/>
  <c r="F15" i="1"/>
  <c r="C44" i="1"/>
  <c r="E180" i="1"/>
  <c r="E28" i="1"/>
  <c r="E88" i="1"/>
  <c r="F62" i="1"/>
  <c r="G188" i="1"/>
  <c r="H10" i="1"/>
  <c r="H168" i="1"/>
  <c r="E114" i="1"/>
  <c r="F112" i="1"/>
  <c r="F203" i="1"/>
  <c r="F237" i="1"/>
  <c r="H266" i="1"/>
  <c r="F106" i="1"/>
  <c r="G24" i="1"/>
  <c r="C272" i="1"/>
  <c r="G152" i="1"/>
  <c r="F6" i="1"/>
  <c r="H218" i="1"/>
  <c r="D152" i="1"/>
  <c r="C128" i="1"/>
  <c r="H120" i="1"/>
  <c r="C135" i="1"/>
  <c r="D285" i="1"/>
  <c r="F148" i="1"/>
  <c r="K102" i="2"/>
  <c r="G65" i="1"/>
  <c r="C113" i="1"/>
  <c r="E87" i="1"/>
  <c r="H4" i="1"/>
  <c r="L119" i="2"/>
  <c r="G242" i="1"/>
  <c r="D5" i="1"/>
  <c r="C279" i="1"/>
  <c r="G60" i="1"/>
  <c r="G86" i="1"/>
  <c r="G96" i="1"/>
  <c r="C131" i="1"/>
  <c r="C186" i="1"/>
  <c r="K22" i="2"/>
  <c r="H135" i="1"/>
  <c r="H197" i="1"/>
  <c r="E15" i="1"/>
  <c r="H213" i="1"/>
  <c r="D225" i="1"/>
  <c r="E187" i="1"/>
  <c r="F284" i="1"/>
  <c r="G218" i="1"/>
  <c r="G49" i="1"/>
  <c r="G128" i="1"/>
  <c r="E277" i="1"/>
  <c r="F217" i="1"/>
  <c r="C41" i="1"/>
  <c r="H245" i="1"/>
  <c r="E91" i="1"/>
  <c r="G42" i="1"/>
  <c r="G4" i="1"/>
  <c r="K27" i="2"/>
  <c r="E131" i="1"/>
  <c r="G6" i="1"/>
  <c r="G68" i="1"/>
  <c r="G146" i="1"/>
  <c r="H228" i="1"/>
  <c r="E12" i="1"/>
  <c r="E46" i="1"/>
  <c r="H29" i="1"/>
  <c r="G83" i="1"/>
  <c r="H21" i="1"/>
  <c r="H61" i="1"/>
  <c r="F28" i="1"/>
  <c r="E54" i="1"/>
  <c r="C94" i="1"/>
  <c r="C187" i="1"/>
  <c r="E14" i="1"/>
  <c r="C58" i="1"/>
  <c r="L169" i="2"/>
  <c r="D195" i="1"/>
  <c r="C54" i="1"/>
  <c r="F49" i="1"/>
  <c r="E93" i="1"/>
  <c r="F41" i="1"/>
  <c r="F81" i="1"/>
  <c r="G243" i="1"/>
  <c r="C80" i="1"/>
  <c r="F37" i="1"/>
  <c r="D210" i="1"/>
  <c r="E236" i="1"/>
  <c r="D288" i="1"/>
  <c r="K196" i="2"/>
  <c r="E123" i="1"/>
  <c r="K44" i="2"/>
  <c r="H34" i="1"/>
  <c r="E172" i="1"/>
  <c r="F100" i="1"/>
  <c r="C59" i="1"/>
  <c r="K38" i="2"/>
  <c r="F129" i="1"/>
  <c r="H71" i="1"/>
  <c r="H70" i="1"/>
  <c r="E174" i="1"/>
  <c r="G265" i="1"/>
  <c r="E279" i="1"/>
  <c r="C170" i="1"/>
  <c r="H80" i="1"/>
  <c r="C261" i="1"/>
  <c r="H108" i="1"/>
  <c r="F216" i="1"/>
  <c r="G80" i="1"/>
  <c r="C36" i="1"/>
</calcChain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1"/>
            <color theme="1"/>
            <rFont val="Calibri"/>
            <scheme val="minor"/>
          </rPr>
          <t>Το φύλλο "Πρόγραμμα" είναι κλειδωμένο, επειδή όλα εμφανίζονται αυτόματα με συνάρτηση. Παρακαλώ πραγματοποιήστε τις αλλαγές των μαθημάτων στο φύλλο "Σύνοψη" στο αντίστοιχο μάθημα και θα συγχρονιστούν και εδώ.</t>
        </r>
      </text>
    </comment>
  </commentList>
</comments>
</file>

<file path=xl/comments2.xml><?xml version="1.0" encoding="utf-8"?>
<comments xmlns="http://schemas.openxmlformats.org/spreadsheetml/2006/main">
  <authors>
    <author/>
    <author>tc={40a9633c-4b40-4a0b-abac-58f9163eba1f}</author>
    <author>tc={11cd2e3c-6dc8-4902-8613-6ad6e9a90e20}</author>
    <author>tc={b68c3cf4-4c17-452e-98e0-cf2773fa3ec3}</author>
    <author>tc={2c4723c7-44ad-4aff-85ac-93f596341024}</author>
  </authors>
  <commentList>
    <comment ref="K7" authorId="0" shapeId="0">
      <text>
        <r>
          <rPr>
            <sz val="11"/>
            <color theme="1"/>
            <rFont val="Calibri"/>
            <scheme val="minor"/>
          </rPr>
          <t>Εμφανίζει σχόλιο αν η εξέταση μπήκε Σ/Κ ή αργία</t>
        </r>
      </text>
    </comment>
    <comment ref="L7" authorId="0" shapeId="0">
      <text>
        <r>
          <rPr>
            <sz val="11"/>
            <color theme="1"/>
            <rFont val="Calibri"/>
            <scheme val="minor"/>
          </rPr>
          <t>Εμφανίζει τα μαθήματα που εξετάζονται την ίδια ώρα. Αν είναι κόκκινο, είναι μαθήματα όπου δεν έχουν σχέση, αν είναι πράσινο, έχουν ζητηθεί από τους διδάσκοντες ή είναι τα αντίστοιχα του ΠΠΣ που εξετάζονται μαζί</t>
        </r>
      </text>
    </comment>
    <comment ref="E29" authorId="1" shapeId="0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Υπάρχει και στο 2ο έτος στο χειμερινό για φέτος επειδή έγινε η μετακίνηση και ενδέχεται να χρωστάνε φοιτητές και των 2 εξαμήνων. Από το επόμενο έτος μπορεί να μείνει μόνο στο 1ο έτος (είναι προσωρινά για διευκόλυνση του 2ου έτους, για να μην ψάχνει το μάθημα σε άλλο εξάμηνο ή θεωρεί ότι έχει παραλειφθεί)</t>
        </r>
      </text>
    </comment>
    <comment ref="F107" authorId="2" shapeId="0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οποιαδήποτε ώρα</t>
        </r>
      </text>
    </comment>
    <comment ref="E122" authorId="3" shapeId="0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αν χρειαστεί 2η ημέρα για προφορικά Αμοιρίδη</t>
        </r>
      </text>
    </comment>
    <comment ref="E167" authorId="4" shapeId="0">
      <text>
        <r>
          <rPr>
            <sz val="11"/>
            <color theme="1"/>
            <rFont val="Calibri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εάν χρειαστεί 2η ημέρα για προφορικά</t>
        </r>
      </text>
    </comment>
  </commentList>
</comments>
</file>

<file path=xl/sharedStrings.xml><?xml version="1.0" encoding="utf-8"?>
<sst xmlns="http://schemas.openxmlformats.org/spreadsheetml/2006/main" count="953" uniqueCount="282">
  <si>
    <t>Ημερομηνία</t>
  </si>
  <si>
    <t>Ώρα</t>
  </si>
  <si>
    <t>1ο Έτος</t>
  </si>
  <si>
    <t>2ο Έτος</t>
  </si>
  <si>
    <t>3ο Έτος</t>
  </si>
  <si>
    <t>4ο Έτος</t>
  </si>
  <si>
    <t>5ο Έτος</t>
  </si>
  <si>
    <t>Επί Πτυχίω</t>
  </si>
  <si>
    <t>Εξεταστική</t>
  </si>
  <si>
    <t>Σεπτεμβρίου</t>
  </si>
  <si>
    <t>Σαββατοκύριακα</t>
  </si>
  <si>
    <t>Από</t>
  </si>
  <si>
    <t>Τριών Ιεραρχών</t>
  </si>
  <si>
    <t>Αγίου Πνεύματος</t>
  </si>
  <si>
    <t>Έως</t>
  </si>
  <si>
    <t>Αργίες</t>
  </si>
  <si>
    <t>Διάρκεια</t>
  </si>
  <si>
    <t>Έτος</t>
  </si>
  <si>
    <t>Εξάμηνο Διδασκαλίας</t>
  </si>
  <si>
    <t>Δικαίωμα Εξέτασης</t>
  </si>
  <si>
    <t>Εργαστήριο/Κλινική</t>
  </si>
  <si>
    <t>Μάθημα</t>
  </si>
  <si>
    <t>Ώρα Έναρξης</t>
  </si>
  <si>
    <t>Ώρα Λήξης</t>
  </si>
  <si>
    <t>Αίθουσα</t>
  </si>
  <si>
    <t>Παρατηρήσεις</t>
  </si>
  <si>
    <t>Επικάλυψη (στην ίδια αίθουσα) με</t>
  </si>
  <si>
    <t>Εξετάζεται μαζί με: (κυρίως για ΠΠΣ)</t>
  </si>
  <si>
    <t>Χειμερινό</t>
  </si>
  <si>
    <t>Αγγλική Κτηνιατρική Ορολογία Ι</t>
  </si>
  <si>
    <t>Νέες Αίθουσες</t>
  </si>
  <si>
    <t>Αγγλική Κτηνιατρική Ορολογία ΙΙ</t>
  </si>
  <si>
    <t>Ζωοτεχνίας &amp; Διατροφής</t>
  </si>
  <si>
    <t>Γενετική (Θεωρία)</t>
  </si>
  <si>
    <t>Γενετική (Εργαστήριο)</t>
  </si>
  <si>
    <t>Βιοχημείας</t>
  </si>
  <si>
    <t>Γενικές Αρχές Βιοχημείας</t>
  </si>
  <si>
    <t>Αρχές Χημείας για Κτηνιατρική Επιστήμη (ΠΠΣ)</t>
  </si>
  <si>
    <t>Διατροφή των Ζώων &amp; Στοιχεία Βιολογίας Φυτών (Θεωρία)</t>
  </si>
  <si>
    <t>Αμφιθέατρα</t>
  </si>
  <si>
    <t>Διατροφή των ζώων (ΠΠΣ)</t>
  </si>
  <si>
    <t>Διατροφή των Ζώων &amp; Στοιχεία Βιολογίας Φυτών (Ζωοτροφές)</t>
  </si>
  <si>
    <t>Ζωοτεχνία, Ηθολογία, Ευζωΐα &amp; Σχετική Νομοθεσία Ι</t>
  </si>
  <si>
    <t>"Ζωοτεχνία, Ηθολογία, Ευζωΐα &amp; Σχετική Νομοθεσία ΙΙ", "Ζωοτεχνία, Ηθολογία..Ι, ΙΙ, ΙΙΙ (ΠΠΣ)"</t>
  </si>
  <si>
    <t>Ανατομικής, Ιστολογίας &amp; Εμβρυολογίας</t>
  </si>
  <si>
    <t>Μακροσκοπική Ανατομική Ι (Θεωρία)</t>
  </si>
  <si>
    <t>Μακροσκοπική Ανατομική Ι (ΠΠΣ) (Θεωρία)</t>
  </si>
  <si>
    <t>Μακροσκοπική Ανατομική Ι (Πρακτικά)</t>
  </si>
  <si>
    <t>Ανατομείο</t>
  </si>
  <si>
    <t>Μακροσκοπική Ανατομική Ι (ΠΠΣ) (Πρακτικά)</t>
  </si>
  <si>
    <t>Μικροσκοπική Ανατομική Ι (Θεωρία)</t>
  </si>
  <si>
    <t>Μικροσκοπική Ανατομική Ι (ΠΠΣ) (Θεωρία)</t>
  </si>
  <si>
    <t>Μικροσκοπική Ανατομική Ι (Πρακτικά)</t>
  </si>
  <si>
    <t>Μικροσκοπική Ανατομική Ι (ΠΠΣ) (Πρακτικά)</t>
  </si>
  <si>
    <t>Αρχές Φυσικής &amp; Ακτινοπροστασίας</t>
  </si>
  <si>
    <t>Ζωολογία</t>
  </si>
  <si>
    <t>Εαρινό</t>
  </si>
  <si>
    <t>Βιοχημεία του Μεταβολισμού</t>
  </si>
  <si>
    <t>Βιοχημεία (ΠΠΣ)</t>
  </si>
  <si>
    <t>Ζωοτεχνία, Ηθολογία, Ευζωΐα &amp; Σχετική Νομοθεσία ΙΙ</t>
  </si>
  <si>
    <t>"Ζωοτεχνία, Ηθολογία..Ι, ΙΙ, ΙΙΙ (ΠΠΣ)", "Ζωοτεχνία, Ηθολογία, Ευζωΐα &amp; Σχετική Νομοθεσία Ι"</t>
  </si>
  <si>
    <t>Μακροσκοπική Ανατομική ΙΙ (Θεωρία)</t>
  </si>
  <si>
    <t>Μακροσκοπική Ανατομική ΙΙ (ΠΠΣ) (Θεωρία)</t>
  </si>
  <si>
    <t>Μακροσκοπική Ανατομική ΙΙ (Πρακτικά)</t>
  </si>
  <si>
    <t>Μακροσκοπική Ανατομική ΙΙ (ΠΠΣ) (Πρακτικά)</t>
  </si>
  <si>
    <t>Μικροσκοπική Ανατομική ΙΙ (Θεωρία)</t>
  </si>
  <si>
    <t>Μικροσκοπική Ανατομική ΙΙ (ΠΠΣ) (Θεωρία)</t>
  </si>
  <si>
    <t>Μικροσκοπική Ανατομική ΙΙ (Πρακτικά)</t>
  </si>
  <si>
    <t>Μικροσκοπική Ανατομική ΙΙ (ΠΠΣ) (Πρακτικά)</t>
  </si>
  <si>
    <t>Μελισσοκομία &amp; Μελισσοπαθολογία</t>
  </si>
  <si>
    <t>Μεγάλο Αμφιθέατρο</t>
  </si>
  <si>
    <t>Επιδημιολογίας &amp; Οικονομίας</t>
  </si>
  <si>
    <t>Βιοστατιστική</t>
  </si>
  <si>
    <t>Φυσιολογίας</t>
  </si>
  <si>
    <t>Φυσιολογία Ι</t>
  </si>
  <si>
    <t>Κυτταρική &amp; Μοριακή Βιολογία</t>
  </si>
  <si>
    <t>Οικολογία</t>
  </si>
  <si>
    <t>Μικροβιολογίας &amp; Παρασιτολογίας</t>
  </si>
  <si>
    <t>Γενική Μικροβιολογία</t>
  </si>
  <si>
    <t>Μικροβιολογία 1 (ΠΠΣ)</t>
  </si>
  <si>
    <t>Ιχθυολογίας &amp; Ιχθυοπαθολογίας</t>
  </si>
  <si>
    <t>Ιχθυολογία, Υδρόβια Πανίδα &amp; Υδατοκαλλιέργειες (Θεωρία)</t>
  </si>
  <si>
    <t>Ιχθυολογία, Υδρόβια Πανίδα &amp; Υδατοκαλλιέργειες (Πρακτικά)</t>
  </si>
  <si>
    <t>ΠΑΘΑΝ</t>
  </si>
  <si>
    <t>Κτηνιατρική Δεοντολογία &amp; Νομοθεσία</t>
  </si>
  <si>
    <t>Αίθουσα Έναντι Χειρουργικής</t>
  </si>
  <si>
    <t>Οικονομία Υγείας των Ζώων</t>
  </si>
  <si>
    <t>Υγιεινής</t>
  </si>
  <si>
    <t>Τεχνολογία Τροφίμων Ζωικής Προέλευσης &amp; Σχετική Νομοθεσία (Θεωρία)</t>
  </si>
  <si>
    <t>Τεχνολογία Τροφίμων Ζωικής Προέλευσης &amp; Σχετική Νομοθεσία (Εργαστήριο)</t>
  </si>
  <si>
    <t>Φυσιολογία ΙΙ</t>
  </si>
  <si>
    <t>Ανοσολογία</t>
  </si>
  <si>
    <t>Παθολογίας</t>
  </si>
  <si>
    <t>Γενική Παθολογία</t>
  </si>
  <si>
    <t>Γενική Παθολογία (ΠΠΣ)</t>
  </si>
  <si>
    <t>Γενική Παθολογική Ανατομική</t>
  </si>
  <si>
    <t>Διαγνωστική Μικροβιολογία</t>
  </si>
  <si>
    <t>Μικροβιολογια 2 (ΠΠΣ)</t>
  </si>
  <si>
    <t>Παρασιτολογία &amp; Παρασιτικά Νοσήματα Ι (Θεωρία)</t>
  </si>
  <si>
    <t>Παρασιτολογία &amp; Παρασιτικά Νοσήματα Ι Εργαστήριο</t>
  </si>
  <si>
    <t>Φαρμακολογίας &amp; Τοξικολογίας</t>
  </si>
  <si>
    <t>Φαρμακολογία</t>
  </si>
  <si>
    <t>Μοριακή Μικροβιολογία &amp; Παρασιτολογία</t>
  </si>
  <si>
    <t>Προϊόντα Μελισσοκομίας</t>
  </si>
  <si>
    <t>Ειδική Παθολογική Ανατομική</t>
  </si>
  <si>
    <t>Ιχθυοπαθολογία &amp; Διαχείριση Υγείας Υδρόβιων Οργανισμών</t>
  </si>
  <si>
    <t>Λοιμώδη Νοσήματα &amp; Σχετική Νομοθεσία Ι</t>
  </si>
  <si>
    <t>Μαιευτικής</t>
  </si>
  <si>
    <t>Μαιευτική &amp; Αναπαραγωγή Ι</t>
  </si>
  <si>
    <t>Παθολογία Ζώων Συντροφιάς Ι</t>
  </si>
  <si>
    <t>Ειδική Παθολογία ΖΣ Ι (ΠΠΣ)</t>
  </si>
  <si>
    <t>Παθολογία Παραγωγικών Ζώων Ι</t>
  </si>
  <si>
    <t>Παρασιτολογία &amp; Παρασιτικά Νοσήματα ΙΙ (Θεωρία)</t>
  </si>
  <si>
    <t>Παρασιτολογία &amp; Παρασιτικά Νοσήματα ΙΙ (Εργαστήριο)</t>
  </si>
  <si>
    <t>Τοξικολογία</t>
  </si>
  <si>
    <t>Χειρουργικής</t>
  </si>
  <si>
    <t>Εισαγωγή στην Εντατική Θεραπεία</t>
  </si>
  <si>
    <t>Εκτροφή/Παθολογία Σημαντικότερων Υδρόβιων Οργανισμών (Πλην Ιχθύων)</t>
  </si>
  <si>
    <t>Κλινική Εργαστηριακή Διαγνωστική</t>
  </si>
  <si>
    <t>Ζωοανθρωπονόσοι μέσω Προσέγγισης Ενιαίας Υγείας</t>
  </si>
  <si>
    <t>Συγκριτική Παθολογική Ανατομική &amp; Ζωικά Πρότυπα Νοσημάτων του Ανθρώπου</t>
  </si>
  <si>
    <t>Αίθουσα Μικροσκοπίας</t>
  </si>
  <si>
    <t>Γενική Χειρουργική &amp; Οφθαλμολογία</t>
  </si>
  <si>
    <t>Χειρουργική ΙV (γραπτά)</t>
  </si>
  <si>
    <t>Κτηνιατρική Επιδημιολογία</t>
  </si>
  <si>
    <t>Λοιμώδη Νοσήματα &amp; Σχετική Νομοθεσία ΙΙ</t>
  </si>
  <si>
    <t>Μαιευτική &amp; Αναπαραγωγή ΙΙ</t>
  </si>
  <si>
    <t>Παθολογία Ζώων Συντροφιάς ΙΙ</t>
  </si>
  <si>
    <t>Ειδική Παθολογία ΖΣ ΙΙ (ΠΠΣ)</t>
  </si>
  <si>
    <t>Παθολογία Παραγωγικών Ζώων ΙΙ</t>
  </si>
  <si>
    <t>Υγιεινή &amp; Τεχνολογία του Γάλακτος &amp; των Γαλακτοκομικών Προϊόντων &amp; Σχετική Νομοθεσία (Θεωρία)</t>
  </si>
  <si>
    <t>Υγιεινή &amp; Τεχνολογία του Γάλακτος &amp; των Γαλακτοκομικών Προϊόντων &amp; Σχετική Νομοθεσία (Εργαστήριο)</t>
  </si>
  <si>
    <t>Εργαστήριο Υγιεινής</t>
  </si>
  <si>
    <t>Βασικές Αρχές Λειτουργίας &amp; Χρήσης Αναισθησιολογικού Εξοπλισμού</t>
  </si>
  <si>
    <t>Γενική Ιστοπαθολογία Ζωικών Οργανισμών</t>
  </si>
  <si>
    <t>Εξειδικευμένα Μαθήματα Ερμηνείας Αποτελεσμάτων Εξετάσεων Κλινικής Διαγνωστικής στα Ζώα Συντροφιάς</t>
  </si>
  <si>
    <t>Επιλεγμένα Νοσήματα της Άγριας Πανίδας</t>
  </si>
  <si>
    <t>Αναισθησιολογία &amp; Εντατική Θεραπεία</t>
  </si>
  <si>
    <t>Χειρουργική Ι (γραπτά)</t>
  </si>
  <si>
    <t>Διαγνωστική Παθολογική Ανατομική - Κτηνιατροδικαστική Ι</t>
  </si>
  <si>
    <t>Διαγνωστική Παθολογική Αντομική ΙΙ (ΔΠΑ ΙΙ - παραγωγικά ζώα) (ΠΠΣ)</t>
  </si>
  <si>
    <t>Μαιευτική &amp; Αναπαραγωγή ΙΙΙ</t>
  </si>
  <si>
    <t>Ορθοπεδική Χειρουργική</t>
  </si>
  <si>
    <t>Χειρουργική ΙΙ (γραπτά)</t>
  </si>
  <si>
    <t>Παθολογία Ζώων Συντροφιάς ΙΙΙ</t>
  </si>
  <si>
    <t>Ειδική Παθολογία ΖΣ ΙΙΙ (ΠΠΣ)</t>
  </si>
  <si>
    <t>Παθολογία Παραγωγικών Ζώων ΙΙΙ</t>
  </si>
  <si>
    <t>Παθολογίας Πτηνών</t>
  </si>
  <si>
    <t>Παθολογία Πτηνών Ι</t>
  </si>
  <si>
    <t>Παθολογία Πτηνών ΙI</t>
  </si>
  <si>
    <t>Υγιεινή Τροφίμων &amp; Σχετική Νομοθεσία Ι</t>
  </si>
  <si>
    <t>Φυσιολογία &amp; Παθολογία Αναπαραγωγής Αρσενικών Θηλαστικών Ζώων &amp; Τεχνητή Σπερματέγχυση</t>
  </si>
  <si>
    <t>Αναπαραγωγή Αρσενικού (ΠΠΣ)</t>
  </si>
  <si>
    <t>Απεικονιστική Διαγνωστική</t>
  </si>
  <si>
    <t>Ακτινολογία</t>
  </si>
  <si>
    <t>Διαγνωστική Παθολογική Ανατομική - Κτηνιατροδικαστική ΙΙ</t>
  </si>
  <si>
    <t>Διαγνωστική Παθολογική Αντομική Ι (ΔΠΑ Ι - ζώα αναψυχής) (ΠΠΣ)</t>
  </si>
  <si>
    <t>Κλινική Φαρμακοθεραπεία &amp; Φαρμακευτική</t>
  </si>
  <si>
    <t>Μαιευτική &amp; Αναπαραγωγή ΙV</t>
  </si>
  <si>
    <t>Παθολογία Ζώων Συντροφιάς ΙV</t>
  </si>
  <si>
    <t>Ειδική Παθολογία ΖΣ ΙV (ΠΠΣ), Ειδικη Παθολογία ΖΣ V (ΠΠΣ) (Γραπτά)</t>
  </si>
  <si>
    <t>Παθολογία Παραγωγικών Ζώων ΙV</t>
  </si>
  <si>
    <t>Υγιεινή Τροφίμων &amp; Σχετική Νομοθεσία ΙI</t>
  </si>
  <si>
    <t>Χειρουργική Μαλακών Ιστών</t>
  </si>
  <si>
    <t>Χειρουργική ΙΙΙ (γραπτά)</t>
  </si>
  <si>
    <t>Πρακτική Άσκηση στην Αναισθησιολογία, τη Χειρουργική &amp; την Απεικονιστική Διαγνωστική Ι (Γραπτά)</t>
  </si>
  <si>
    <t>Πρακτική Άσκηση στην Αναισθησιολογία, τη Χειρουργική &amp; την Απεικονιστική Διαγνωστική Ι (Πρακτικά) (1η ημέρα)</t>
  </si>
  <si>
    <t>Χειρουργική Κλινική</t>
  </si>
  <si>
    <t>Χειρουργική ΙV (Πρακτικά) (1η ημέρα), "Πρακτική Άσκηση στην Αναισθησιολογία, τη Χειρουργική &amp; την Απεικονιστική Διαγνωστική ΙΙ (Πρακτικά) (1η ημέρα)"</t>
  </si>
  <si>
    <t>Πρακτική Άσκηση στην Αναισθησιολογία, τη Χειρουργική &amp; την Απεικονιστική Διαγνωστική Ι (Πρακτικά) (2η ημέρα)</t>
  </si>
  <si>
    <t>Χειρουργική ΙV (Πρακτικά) (2η ημέρα), "Πρακτική Άσκηση στην Αναισθησιολογία, τη Χειρουργική &amp; την Απεικονιστική Διαγνωστική ΙΙ (Πρακτικά) (2η ημέρα)"</t>
  </si>
  <si>
    <t>Πρακτική Άσκηση στην Αναισθησιολογία, τη Χειρουργική &amp; την Απεικονιστική Διαγνωστική Ι (Πρακτικά) (3η ημέρα)</t>
  </si>
  <si>
    <t>Χειρουργική ΙV (Πρακτικά) (3η ημέρα), "Πρακτική Άσκηση στην Αναισθησιολογία, τη Χειρουργική &amp; την Απεικονιστική Διαγνωστική ΙΙ (Πρακτικά) (3η ημέρα)"</t>
  </si>
  <si>
    <t>Πρακτική Άσκηση στη Διαγνωστική Παθολογική Ανατομική &amp; Κτηνιατροδικαστική Ι (Γραπτά)</t>
  </si>
  <si>
    <t>Πρακτική Άσκηση στη Διαγνωστική Παθολογική Ανατομική &amp; Κτηνιατροδικαστική Ι (Πρακτικά)</t>
  </si>
  <si>
    <t>Πρακτική Άσκηση στη Μαιευτική &amp; Αναπαραγωγή των Κατοικιδίων Θηλαστικών Ι</t>
  </si>
  <si>
    <t>Πρακτική Άσκηση στην Παθολογία Ζώων Συντροφιάς Ι (1η ημέρα)</t>
  </si>
  <si>
    <t>Παθολογική Κλινική</t>
  </si>
  <si>
    <t>Πρακτική Άσκηση στην Παθολογία Ζώων Συντροφιάς ΙΙ (1η ημέρα), Ειδικη Παθολογία ΖΣ V (ΠΠΣ) (Πρακτικά) (1η ημέρα)</t>
  </si>
  <si>
    <t>Πρακτική Άσκηση στην Παθολογία Ζώων Συντροφιάς Ι (2η ημέρα)</t>
  </si>
  <si>
    <t>Πρακτική Άσκηση στην Παθολογία Ζώων Συντροφιάς ΙΙ (2η ημέρα), Ειδικη Παθολογία ΖΣ V (ΠΠΣ) (Πρακτικά) (2η ημέρα)</t>
  </si>
  <si>
    <t>Πρακτική Άσκηση στην Παθολογία Ζώων Συντροφιάς Ι (3η ημέρα)</t>
  </si>
  <si>
    <t>Πρακτική Άσκηση στην Παθολογία Ζώων Συντροφιάς ΙΙ (3η ημέρα), Ειδικη Παθολογία ΖΣ V (ΠΠΣ) (Πρακτικά) (3η ημέρα)</t>
  </si>
  <si>
    <t>Πρακτική Άσκηση στην Παθολογία Παραγωγικών Ζώων Ι</t>
  </si>
  <si>
    <t>Παθολογία Παραγωγικών (ΠΠΣ) (Γραπτά)</t>
  </si>
  <si>
    <t>Πρακτική Άσκηση στην Παθολογία Πτηνών Ι</t>
  </si>
  <si>
    <t>Πρακτική Άσκηση στην Παθολογία Πτηνών ΙΙ</t>
  </si>
  <si>
    <t>Πρακτική Άσκηση στην Υγιεινή Τροφίμων Ι</t>
  </si>
  <si>
    <t>Αίθουσα έναντι Παθολογικής</t>
  </si>
  <si>
    <t>Εξειδικευμένα Μαθήματα Αναπαραγωγής Βοοειδών</t>
  </si>
  <si>
    <t>Εξειδικευμένα Μαθήματα Δερματολογίας Ζώων Συντροφιάς</t>
  </si>
  <si>
    <t>Εξειδικευμένα Μαθήματα Παθολογίας της Γάτας</t>
  </si>
  <si>
    <t>Εφαρμογή Καινοτόμων Ιδεών &amp; Τεχνολογιών στη Χοιροτροφία &amp; Πτηνοτροφία</t>
  </si>
  <si>
    <t>Διαχείριση Υγείας Ζωικών Πληθυσμών</t>
  </si>
  <si>
    <t>Πρακτική Άσκηση στην Αναισθησιολογία, τη Χειρουργική &amp; την Απεικονιστική Διαγνωστική ΙΙ (Γραπτά)</t>
  </si>
  <si>
    <t>Πρακτική Άσκηση στην Αναισθησιολογία, τη Χειρουργική &amp; την Απεικονιστική Διαγνωστική ΙΙ (Πρακτικά) (1η ημέρα)</t>
  </si>
  <si>
    <t>Πρακτική Άσκηση στην Αναισθησιολογία, τη Χειρουργική &amp; την Απεικονιστική Διαγνωστική Ι (Πρακτικά) (1η ημέρα), Χειρουργική ΙV (Πρακτικά) (1η ημέρα)</t>
  </si>
  <si>
    <t>Πρακτική Άσκηση στην Αναισθησιολογία, τη Χειρουργική &amp; την Απεικονιστική Διαγνωστική ΙΙ (Πρακτικά) (2η ημέρα)</t>
  </si>
  <si>
    <t>Πρακτική Άσκηση στην Αναισθησιολογία, τη Χειρουργική &amp; την Απεικονιστική Διαγνωστική Ι (Πρακτικά) (2η ημέρα), Χειρουργική ΙV (Πρακτικά) (2η ημέρα)</t>
  </si>
  <si>
    <t>Πρακτική Άσκηση στην Αναισθησιολογία, τη Χειρουργική &amp; την Απεικονιστική Διαγνωστική ΙΙ (Πρακτικά) (3η ημέρα)</t>
  </si>
  <si>
    <t>Πρακτική Άσκηση στην Αναισθησιολογία, τη Χειρουργική &amp; την Απεικονιστική Διαγνωστική Ι (Πρακτικά) (3η ημέρα), Χειρουργική ΙV (Πρακτικά) (3η ημέρα)</t>
  </si>
  <si>
    <t>Πρακτική Άσκηση στη Διαγνωστική Παθολογική Ανατομική ΙΙ (Γραπτά)</t>
  </si>
  <si>
    <t>Διαγωνστική Παθολογική Αντομική ΙΙΙ</t>
  </si>
  <si>
    <t>Πρακτική Άσκηση στη Διαγνωστική Παθολογική Ανατομική ΙΙ (Πρακτικά)</t>
  </si>
  <si>
    <t>Νεκροτομείο</t>
  </si>
  <si>
    <t>Πρακτική Άσκηση στη Μαιευτική &amp; Αναπαραγωγή ΙΙ (Γραπτά ΖΣ)</t>
  </si>
  <si>
    <t>Μαιευτική-Αναπαραγωγή ΙV (ΠΠΣ) (Γραπτά ΖΣ)</t>
  </si>
  <si>
    <t>Πρακτική Άσκηση στη Μαιευτική &amp; Αναπαραγωγή ΙΙ (Γραπτά Μικρά Μηρυκαστικά)</t>
  </si>
  <si>
    <t>Μαιευτική-Αναπαραγωγή ΙV (ΠΠΣ) (Γραπτά Μικρά Μηρυκαστικά)</t>
  </si>
  <si>
    <t>Πρακτική Άσκηση στη Μαιευτική &amp; Αναπαραγωγή ΙΙ (Πρακτικά Βοοειδή)</t>
  </si>
  <si>
    <t>Μαιευτική Κλινική</t>
  </si>
  <si>
    <t>Μαιευτική-Αναπαραγωγή ΙV (ΠΠΣ) (Πρακτικά Βοοειδή)</t>
  </si>
  <si>
    <t>Πρακτική Άσκηση στη Μαιευτική &amp; Αναπαραγωγή ΙΙ (Πρακτικά) (2η ημέρα)</t>
  </si>
  <si>
    <t>Πρακτική Άσκηση στην Παθολογία Ζώων Συντροφιάς ΙΙ (1η ημέρα)</t>
  </si>
  <si>
    <t>Πρακτική Άσκηση στην Παθολογία Ζώων Συντροφιάς Ι (1η ημέρα), Ειδικη Παθολογία ΖΣ V (ΠΠΣ) (Πρακτικά) (1η ημέρα)</t>
  </si>
  <si>
    <t>Πρακτική Άσκηση στην Παθολογία Ζώων Συντροφιάς ΙΙ (2η ημέρα)</t>
  </si>
  <si>
    <t>Πρακτική Άσκηση στην Παθολογία Ζώων Συντροφιάς Ι (2η ημέρα), Ειδικη Παθολογία ΖΣ V (ΠΠΣ) (Πρακτικά) (2η ημέρα)</t>
  </si>
  <si>
    <t>Πρακτική Άσκηση στην Παθολογία Ζώων Συντροφιάς ΙΙ (3η ημέρα)</t>
  </si>
  <si>
    <t>Πρακτική Άσκηση στην Παθολογία Ζώων Συντροφιάς Ι (3η ημέρα), Ειδικη Παθολογία ΖΣ V (ΠΠΣ) (Πρακτικά) (3η ημέρα)</t>
  </si>
  <si>
    <t>Πρακτική Άσκηση στην Παθολογία Παραγωγικών Ζώων ΙΙ</t>
  </si>
  <si>
    <t>Παθολογία Παραγωγικών (ΠΠΣ) (Πρακτικά)</t>
  </si>
  <si>
    <t>Πρακτική Άσκηση στην Υγιεινή Τροφίμων ΙΙ (Εργαστήριο)</t>
  </si>
  <si>
    <t>Υγιεινή τροφίμων ΙΙΙ (ΠΠΣ) (Εργαστήριο)</t>
  </si>
  <si>
    <t>Πρακτική Άσκηση στην Υγιεινή Τροφίμων ΙΙ (Σφαγείο)</t>
  </si>
  <si>
    <t>Σφαγείο</t>
  </si>
  <si>
    <t>Υγιεινή τροφίμων ΙΙΙ (ΠΠΣ) (Σφαγείο)</t>
  </si>
  <si>
    <t>Σχεδιασμός Σταδιοδρομίας, Διαχείριση Κτηνιατρείων &amp; Σχετική Νομοθεσία</t>
  </si>
  <si>
    <t>Εξειδικευμένα Μαθήματα Αναπαραγωγής Ζώων Συντροφιάς</t>
  </si>
  <si>
    <t>Εξειδικευμένα Μαθήματα Αναπαραγωγής Μικρών Μηρυκαστικών</t>
  </si>
  <si>
    <t>Όγκοι των Ζώων Συντροφιάς</t>
  </si>
  <si>
    <t>Ποιότητα &amp; Έλεγχος Τροφίμων &amp; Σχετική Νομοθεσία</t>
  </si>
  <si>
    <t>Φυσιοθεραπεία των Ζώων Συντροφιάς</t>
  </si>
  <si>
    <t>ΠΠΣ</t>
  </si>
  <si>
    <t>Ζωοτεχνία, Ηθολογία..Ι, ΙΙ, ΙΙΙ (ΠΠΣ)</t>
  </si>
  <si>
    <t>"Ζωοτεχνία, Ηθολογία, Ευζωΐα &amp; Σχετική Νομοθεσία Ι", "Ζωοτεχνία, Ηθολογία, Ευζωΐα &amp; Σχετική Νομοθεσία ΙΙ"</t>
  </si>
  <si>
    <t>Μακροσκοπική Ανατομική Ι (Θεωρία), Μακροσκοπική Ανατομική ΙΙ (Θεωρία), Μακροσκοπική Ανατομική ΙΙ (ΠΠΣ) (Θεωρία)</t>
  </si>
  <si>
    <t>Μακροσκοπική Ανατομική Ι (Πρακτικά), Μακροσκοπική Ανατομική ΙΙ (Πρακτικά), Μακροσκοπική Ανατομική ΙΙ (ΠΠΣ) (Πρακτικά)</t>
  </si>
  <si>
    <t>Μακροσκοπική Ανατομική Ι (Θεωρία), Μακροσκοπική Ανατομική ΙΙ (Θεωρία), Μακροσκοπική Ανατομική Ι (ΠΠΣ) (Θεωρία)</t>
  </si>
  <si>
    <t>Μακροσκοπική Ανατομική Ι (Πρακτικά), Μακροσκοπική Ανατομική ΙΙ (Πρακτικά), Μακροσκοπική Ανατομική Ι (ΠΠΣ) (Πρακτικά)</t>
  </si>
  <si>
    <t>Μικροσκοπική Ανατομική Ι (Θεωρία), Μικροσκοπική Ανατομική ΙΙ (Θεωρία), Μικροσκοπική Ανατομική ΙΙ (ΠΠΣ) (Θεωρία)</t>
  </si>
  <si>
    <t>Μικροσκοπική Ανατομική Ι (Πρακτικά), Μικροσκοπική Ανατομική ΙΙ (Πρακτικά), Μικροσκοπική Ανατομική ΙΙ (ΠΠΣ) (Πρακτικά)</t>
  </si>
  <si>
    <t>Μικροσκοπική Ανατομική Ι (Θεωρία), Μικροσκοπική Ανατομική ΙΙ (Θεωρία), Μικροσκοπική Ανατομική Ι (ΠΠΣ) (Θεωρία)</t>
  </si>
  <si>
    <t>Μικροσκοπική Ανατομική Ι (Πρακτικά), Μικροσκοπική Ανατομική ΙΙ (Πρακτικά), Μικροσκοπική Ανατομική Ι (ΠΠΣ) (Πρακτικά)</t>
  </si>
  <si>
    <t>Ειδική Παθολογία ΖΣ ΙV (ΠΠΣ)</t>
  </si>
  <si>
    <t>Παθολογία Ζώων Συντροφιάς ΙV, Ειδικη Παθολογία ΖΣ V (ΠΠΣ) (Γραπτά)</t>
  </si>
  <si>
    <t>Ειδικη Παθολογία ΖΣ V (ΠΠΣ) (Γραπτά)</t>
  </si>
  <si>
    <t>Παθολογία Ζώων Συντροφιάς ΙV, Ειδική Παθολογία ΖΣ ΙV (ΠΠΣ)</t>
  </si>
  <si>
    <t>Ειδικη Παθολογία ΖΣ V (ΠΠΣ) (Πρακτικά) (1η ημέρα)</t>
  </si>
  <si>
    <t>Πρακτική Άσκηση στην Παθολογία Ζώων Συντροφιάς Ι (1η ημέρα), Πρακτική Άσκηση στην Παθολογία Ζώων Συντροφιάς ΙΙ (1η ημέρα)</t>
  </si>
  <si>
    <t>Ειδικη Παθολογία ΖΣ V (ΠΠΣ) (Πρακτικά) (2η ημέρα)</t>
  </si>
  <si>
    <t>Πρακτική Άσκηση στην Παθολογία Ζώων Συντροφιάς Ι (2η ημέρα), Πρακτική Άσκηση στην Παθολογία Ζώων Συντροφιάς ΙΙ (2η ημέρα)</t>
  </si>
  <si>
    <t>Ειδικη Παθολογία ΖΣ V (ΠΠΣ) (Πρακτικά) (3η ημέρα)</t>
  </si>
  <si>
    <t>Πρακτική Άσκηση στην Παθολογία Ζώων Συντροφιάς Ι (3η ημέρα), Πρακτική Άσκηση στην Παθολογία Ζώων Συντροφιάς ΙΙ (3η ημέρα)</t>
  </si>
  <si>
    <t>Μαιευτική-Αναπαραγωγή ΙV (ΠΠΣ) (2η ημέρα)</t>
  </si>
  <si>
    <t>Διαγνωστική Παθολογική Αντομική ΙΙΙ (ΠΠΣ)</t>
  </si>
  <si>
    <t>Χειρουργική ΙV (Πρακτικά) (1η ημέρα)</t>
  </si>
  <si>
    <t>"Πρακτική Άσκηση στην Αναισθησιολογία, τη Χειρουργική &amp; την Απεικονιστική Διαγνωστική Ι (Πρακτικά) (1η ημέρα)", "Πρακτική Άσκηση στην Αναισθησιολογία, τη Χειρουργική &amp; την Απεικονιστική Διαγνωστική Ι (Πρακτικά) (2η ημέρα)", "Πρακτική Άσκηση στην Αναισθησιολογία, τη Χειρουργική &amp; την Απεικονιστική Διαγνωστική Ι (Πρακτικά) (3η ημέρα)", "Πρακτική Άσκηση στην Αναισθησιολογία, τη Χειρουργική &amp; την Απεικονιστική Διαγνωστική ΙΙ (Πρακτικά) (1η ημέρα)", "Πρακτική Άσκηση στην Αναισθησιολογία, τη Χειρουργική &amp; την Απεικονιστική Διαγνωστική ΙΙ (Πρακτικά) (2η ημέρα)", "Πρακτική Άσκηση στην Αναισθησιολογία, τη Χειρουργική &amp; την Απεικονιστική Διαγνωστική ΙΙ (Πρακτικά) (3η ημέρα)"</t>
  </si>
  <si>
    <t>Χειρουργική ΙV (Πρακτικά) (2η ημέρα)</t>
  </si>
  <si>
    <t>Χειρουργική ΙV (Πρακτικά) (3η ημέρα)</t>
  </si>
  <si>
    <r>
      <rPr>
        <b/>
        <sz val="11"/>
        <color rgb="FFFFFFFF"/>
        <rFont val="Calibri"/>
      </rPr>
      <t>Επιμέλεια του template για το πρόγραμμα της εξεταστικής:</t>
    </r>
    <r>
      <rPr>
        <sz val="11"/>
        <color rgb="FFFFFFFF"/>
        <rFont val="Calibri"/>
      </rPr>
      <t xml:space="preserve"> Ιόλη Μουτσοπούλου, στοιχεία επικοινωνίας: moutsopoulouioli@gmail.com | imoutsopoulou@uth.gr</t>
    </r>
  </si>
  <si>
    <t>Στο παρόν φύλλο υπάρχουν 3 φύλλα: 1) Πρόγραμμα, 2) Σύνοψη και 3) Οδηγίες (το παρόν)</t>
  </si>
  <si>
    <t>1) Πρόγραμμα</t>
  </si>
  <si>
    <r>
      <rPr>
        <sz val="13"/>
        <color theme="1"/>
        <rFont val="Calibri"/>
      </rPr>
      <t xml:space="preserve">Είναι κλειδωμένο ώστε να μην γίνουν </t>
    </r>
    <r>
      <rPr>
        <b/>
        <sz val="13"/>
        <color theme="1"/>
        <rFont val="Calibri"/>
      </rPr>
      <t xml:space="preserve">καταλάθος </t>
    </r>
    <r>
      <rPr>
        <sz val="13"/>
        <color theme="1"/>
        <rFont val="Calibri"/>
      </rPr>
      <t xml:space="preserve">αλλαγές. Όλες οι ημερομηνίες, οι ώρες και τα μαθήματα με τις αντίστοιχες αίθουσες και διαστήματα εξέτασης </t>
    </r>
    <r>
      <rPr>
        <b/>
        <sz val="13"/>
        <color theme="1"/>
        <rFont val="Calibri"/>
      </rPr>
      <t>εμφανίζονται αυτόματα</t>
    </r>
    <r>
      <rPr>
        <sz val="13"/>
        <color theme="1"/>
        <rFont val="Calibri"/>
      </rPr>
      <t xml:space="preserve"> με τις τιμές που είναι καταχωρημένες στη </t>
    </r>
    <r>
      <rPr>
        <b/>
        <sz val="13"/>
        <color theme="1"/>
        <rFont val="Calibri"/>
      </rPr>
      <t>καρτέλα "Σύνοψη"</t>
    </r>
    <r>
      <rPr>
        <sz val="13"/>
        <color theme="1"/>
        <rFont val="Calibri"/>
      </rPr>
      <t>. Ότι αλλαγές πραγματοποιηθούν εκεί, συγχονίζονται χωρίς περεταίρω ενέργειες.</t>
    </r>
  </si>
  <si>
    <t>2) Σύνοψή</t>
  </si>
  <si>
    <r>
      <rPr>
        <sz val="13"/>
        <color theme="1"/>
        <rFont val="Calibri"/>
      </rPr>
      <t xml:space="preserve">Είναι η καρτέλα στην οποία αναφέρονται όλα τα </t>
    </r>
    <r>
      <rPr>
        <b/>
        <sz val="13"/>
        <color theme="1"/>
        <rFont val="Calibri"/>
      </rPr>
      <t>μαθήματα</t>
    </r>
    <r>
      <rPr>
        <sz val="13"/>
        <color theme="1"/>
        <rFont val="Calibri"/>
      </rPr>
      <t xml:space="preserve">, το </t>
    </r>
    <r>
      <rPr>
        <b/>
        <sz val="13"/>
        <color theme="1"/>
        <rFont val="Calibri"/>
      </rPr>
      <t xml:space="preserve">έτος </t>
    </r>
    <r>
      <rPr>
        <sz val="13"/>
        <color theme="1"/>
        <rFont val="Calibri"/>
      </rPr>
      <t xml:space="preserve">και το </t>
    </r>
    <r>
      <rPr>
        <b/>
        <sz val="13"/>
        <color theme="1"/>
        <rFont val="Calibri"/>
      </rPr>
      <t xml:space="preserve">εξάμηνο </t>
    </r>
    <r>
      <rPr>
        <sz val="13"/>
        <color theme="1"/>
        <rFont val="Calibri"/>
      </rPr>
      <t>που έχουν διδαχτεί και</t>
    </r>
    <r>
      <rPr>
        <b/>
        <sz val="13"/>
        <color theme="1"/>
        <rFont val="Calibri"/>
      </rPr>
      <t xml:space="preserve"> ποιοι φοιτητές έχουν δικαίωμα εξέτασης ανάλογα την εξεταστική</t>
    </r>
    <r>
      <rPr>
        <sz val="13"/>
        <color theme="1"/>
        <rFont val="Calibri"/>
      </rPr>
      <t xml:space="preserve"> (Χειμερινή, Εαρινή ή Επαναληπτική). Λαμβάνει υπόψη πότε θα είναι</t>
    </r>
    <r>
      <rPr>
        <b/>
        <sz val="13"/>
        <color theme="1"/>
        <rFont val="Calibri"/>
      </rPr>
      <t xml:space="preserve"> Σ/Κ</t>
    </r>
    <r>
      <rPr>
        <sz val="13"/>
        <color theme="1"/>
        <rFont val="Calibri"/>
      </rPr>
      <t xml:space="preserve">, </t>
    </r>
    <r>
      <rPr>
        <b/>
        <sz val="13"/>
        <color theme="1"/>
        <rFont val="Calibri"/>
      </rPr>
      <t xml:space="preserve">αργία </t>
    </r>
    <r>
      <rPr>
        <sz val="13"/>
        <color theme="1"/>
        <rFont val="Calibri"/>
      </rPr>
      <t xml:space="preserve">ή αν </t>
    </r>
    <r>
      <rPr>
        <b/>
        <sz val="13"/>
        <color theme="1"/>
        <rFont val="Calibri"/>
      </rPr>
      <t>&gt;2 μαθήματα εξετάζονται την ίδια ώρα στην ίδια αίθουσα ενώ δεν θα έπρεπε</t>
    </r>
    <r>
      <rPr>
        <sz val="13"/>
        <color theme="1"/>
        <rFont val="Calibri"/>
      </rPr>
      <t xml:space="preserve">. Ορισμένα κελιά είναι κλειδωμένα για να μην γίνουν τυχαίες και ανεπιθύμητες αλλαγές (πχ στον τίτλο των μαθημάτων). Μπορούν να γίνουν αλλαγές στην </t>
    </r>
    <r>
      <rPr>
        <b/>
        <sz val="13"/>
        <color theme="1"/>
        <rFont val="Calibri"/>
      </rPr>
      <t>ημέρα</t>
    </r>
    <r>
      <rPr>
        <sz val="13"/>
        <color theme="1"/>
        <rFont val="Calibri"/>
      </rPr>
      <t xml:space="preserve"> και </t>
    </r>
    <r>
      <rPr>
        <b/>
        <sz val="13"/>
        <color theme="1"/>
        <rFont val="Calibri"/>
      </rPr>
      <t>ώρα εξέτασης</t>
    </r>
    <r>
      <rPr>
        <sz val="13"/>
        <color theme="1"/>
        <rFont val="Calibri"/>
      </rPr>
      <t xml:space="preserve">, στην </t>
    </r>
    <r>
      <rPr>
        <b/>
        <sz val="13"/>
        <color theme="1"/>
        <rFont val="Calibri"/>
      </rPr>
      <t>αίθουσα</t>
    </r>
    <r>
      <rPr>
        <sz val="13"/>
        <color theme="1"/>
        <rFont val="Calibri"/>
      </rPr>
      <t xml:space="preserve">, και στα </t>
    </r>
    <r>
      <rPr>
        <b/>
        <sz val="13"/>
        <color theme="1"/>
        <rFont val="Calibri"/>
      </rPr>
      <t xml:space="preserve">μαθήματα όπου πρέπει </t>
    </r>
    <r>
      <rPr>
        <sz val="13"/>
        <color theme="1"/>
        <rFont val="Calibri"/>
      </rPr>
      <t xml:space="preserve">(ή είναι επιθυμητό από τους διδάσκοντες) </t>
    </r>
    <r>
      <rPr>
        <b/>
        <sz val="13"/>
        <color theme="1"/>
        <rFont val="Calibri"/>
      </rPr>
      <t>να εξετάζονται ταυτόχρονα</t>
    </r>
    <r>
      <rPr>
        <sz val="13"/>
        <color theme="1"/>
        <rFont val="Calibri"/>
      </rPr>
      <t>.</t>
    </r>
  </si>
  <si>
    <r>
      <rPr>
        <sz val="13"/>
        <color theme="1"/>
        <rFont val="Calibri"/>
      </rPr>
      <t xml:space="preserve">Ξεκλείδωτα για επιλογή είναι επισημασμένα στις εικόνες με γαλάζια τετράγωνα, δηλαδή η </t>
    </r>
    <r>
      <rPr>
        <b/>
        <sz val="13"/>
        <color theme="1"/>
        <rFont val="Calibri"/>
      </rPr>
      <t>εξεταστική</t>
    </r>
    <r>
      <rPr>
        <sz val="13"/>
        <color theme="1"/>
        <rFont val="Calibri"/>
      </rPr>
      <t>,</t>
    </r>
    <r>
      <rPr>
        <b/>
        <sz val="13"/>
        <color theme="1"/>
        <rFont val="Calibri"/>
      </rPr>
      <t xml:space="preserve"> ημερομηνία έναρξης και λήξης</t>
    </r>
    <r>
      <rPr>
        <sz val="13"/>
        <color theme="1"/>
        <rFont val="Calibri"/>
      </rPr>
      <t xml:space="preserve"> και οι </t>
    </r>
    <r>
      <rPr>
        <b/>
        <sz val="13"/>
        <color theme="1"/>
        <rFont val="Calibri"/>
      </rPr>
      <t>αργίες</t>
    </r>
    <r>
      <rPr>
        <sz val="13"/>
        <color theme="1"/>
        <rFont val="Calibri"/>
      </rPr>
      <t>. Η διάρκεια σε εβδομάδες και τα Σαββατοκύριακα υπολογίζονται αυτόματα</t>
    </r>
  </si>
  <si>
    <t>Δικαίωμα εξέτασης:</t>
  </si>
  <si>
    <r>
      <rPr>
        <sz val="13"/>
        <color theme="1"/>
        <rFont val="Calibri"/>
      </rPr>
      <t>Αλλάζει αυτόματα. Δηλαδή, στην</t>
    </r>
    <r>
      <rPr>
        <b/>
        <sz val="13"/>
        <color theme="1"/>
        <rFont val="Calibri"/>
      </rPr>
      <t xml:space="preserve"> χειμερινή εξεταστική</t>
    </r>
    <r>
      <rPr>
        <sz val="13"/>
        <color theme="1"/>
        <rFont val="Calibri"/>
      </rPr>
      <t xml:space="preserve"> οι φοιτητές</t>
    </r>
    <r>
      <rPr>
        <b/>
        <sz val="13"/>
        <color theme="1"/>
        <rFont val="Calibri"/>
      </rPr>
      <t xml:space="preserve"> 1ου, 2ου, 3ου, 4ου &amp; 5ου έτους</t>
    </r>
    <r>
      <rPr>
        <sz val="13"/>
        <color theme="1"/>
        <rFont val="Calibri"/>
      </rPr>
      <t xml:space="preserve"> μπορούν να δώσουν </t>
    </r>
    <r>
      <rPr>
        <i/>
        <sz val="13"/>
        <color theme="1"/>
        <rFont val="Calibri"/>
      </rPr>
      <t>μόνο μαθήματα χειμερινού</t>
    </r>
    <r>
      <rPr>
        <sz val="13"/>
        <color theme="1"/>
        <rFont val="Calibri"/>
      </rPr>
      <t xml:space="preserve">, ομοίως στο </t>
    </r>
    <r>
      <rPr>
        <b/>
        <sz val="13"/>
        <color theme="1"/>
        <rFont val="Calibri"/>
      </rPr>
      <t>εαρινό</t>
    </r>
    <r>
      <rPr>
        <sz val="13"/>
        <color theme="1"/>
        <rFont val="Calibri"/>
      </rPr>
      <t xml:space="preserve">, ενώ </t>
    </r>
    <r>
      <rPr>
        <b/>
        <sz val="13"/>
        <color theme="1"/>
        <rFont val="Calibri"/>
      </rPr>
      <t>στου Σεπτεμβρίου όλων των εξαμήνων</t>
    </r>
    <r>
      <rPr>
        <sz val="13"/>
        <color theme="1"/>
        <rFont val="Calibri"/>
      </rPr>
      <t>. Ότι δεν μπορούν να δώσουν εμφανίζεται ως "Επί Πτυχίω" και στη καρτέλα "Πρόγραμμα" εμφανίζεται στην αντίστοιχη στήλη.</t>
    </r>
  </si>
  <si>
    <t>Ξεκλείδωτα κελιά:</t>
  </si>
  <si>
    <r>
      <rPr>
        <sz val="13"/>
        <color theme="1"/>
        <rFont val="Calibri"/>
      </rPr>
      <t>Τα γαλάζια κελιά για την</t>
    </r>
    <r>
      <rPr>
        <b/>
        <sz val="13"/>
        <color theme="1"/>
        <rFont val="Calibri"/>
      </rPr>
      <t xml:space="preserve"> ημερομηνία, ώρα έναρξης, λήξης και αίθουσα</t>
    </r>
    <r>
      <rPr>
        <sz val="13"/>
        <color theme="1"/>
        <rFont val="Calibri"/>
      </rPr>
      <t xml:space="preserve"> μπορούν να επιλεγούν και να τροποποιηθούν. Εάν είναι κενά, είναι χρωματισμένα </t>
    </r>
    <r>
      <rPr>
        <b/>
        <sz val="13"/>
        <color rgb="FFFF9900"/>
        <rFont val="Calibri"/>
      </rPr>
      <t>πορτοκαλί</t>
    </r>
    <r>
      <rPr>
        <sz val="13"/>
        <color theme="1"/>
        <rFont val="Calibri"/>
      </rPr>
      <t>.</t>
    </r>
  </si>
  <si>
    <t>Παρατηρήσεις:</t>
  </si>
  <si>
    <r>
      <rPr>
        <sz val="13"/>
        <color theme="1"/>
        <rFont val="Calibri"/>
      </rPr>
      <t xml:space="preserve">Οι παρατηρήσεις αναφέρουν αν η εξέταση τοποθετήθηκε σε </t>
    </r>
    <r>
      <rPr>
        <b/>
        <sz val="13"/>
        <color theme="1"/>
        <rFont val="Calibri"/>
      </rPr>
      <t>αργία ή Σ/Κ</t>
    </r>
  </si>
  <si>
    <t>Αλληλοεπικάλληψη (στην ίδια αίθουσα):</t>
  </si>
  <si>
    <r>
      <rPr>
        <sz val="13"/>
        <color theme="1"/>
        <rFont val="Calibri"/>
      </rPr>
      <t>Η στήλη με την επικάλυψη μαθημάτων</t>
    </r>
    <r>
      <rPr>
        <b/>
        <sz val="13"/>
        <color theme="1"/>
        <rFont val="Calibri"/>
      </rPr>
      <t xml:space="preserve"> παραμένει κενή, εκτός αν υπάρχει όντως επικάλυψη</t>
    </r>
    <r>
      <rPr>
        <sz val="13"/>
        <color theme="1"/>
        <rFont val="Calibri"/>
      </rPr>
      <t xml:space="preserve">. Σε αυτή τη περίπτωση, είναι </t>
    </r>
    <r>
      <rPr>
        <b/>
        <sz val="13"/>
        <color rgb="FF6AA84F"/>
        <rFont val="Calibri"/>
      </rPr>
      <t xml:space="preserve">πράσινη </t>
    </r>
    <r>
      <rPr>
        <sz val="13"/>
        <color theme="1"/>
        <rFont val="Calibri"/>
      </rPr>
      <t xml:space="preserve">εάν η διπλανή στήλη έχει επιλεγμένο μάθημα (για τα ΠΠΣ), αλλιώς </t>
    </r>
    <r>
      <rPr>
        <b/>
        <sz val="13"/>
        <color rgb="FFE06666"/>
        <rFont val="Calibri"/>
      </rPr>
      <t>κόκκινη</t>
    </r>
    <r>
      <rPr>
        <sz val="13"/>
        <color theme="1"/>
        <rFont val="Calibri"/>
      </rPr>
      <t>. Ωστόσο, υπάρχει περίπτωση να έχουμε βάλει ταυτόχρονα μαθήματα όπου οι διδάσκοντες ζήτησαν να εξεταστούν την ίδια ώρα στην ίδια αίθουσα.</t>
    </r>
  </si>
  <si>
    <t>Μαθήματα ΠΠΣ:</t>
  </si>
  <si>
    <r>
      <rPr>
        <sz val="13"/>
        <color theme="1"/>
        <rFont val="Calibri"/>
      </rPr>
      <t xml:space="preserve">Βρίσκονται στο τέλος της λίστας (μαζί με μερικές κενές γραμμές σε περίπτωση που χρειαστούν στο μέλλον). Τα μαθήματα της </t>
    </r>
    <r>
      <rPr>
        <b/>
        <sz val="13"/>
        <color theme="1"/>
        <rFont val="Calibri"/>
      </rPr>
      <t>Βιοχημείας, Ζωοτεχνίας &amp; Διατροφής, Μικροβιολογίας, Παθολογίας, Χειρουργικής, Υγιεινής &amp; Μαιευτικής</t>
    </r>
    <r>
      <rPr>
        <sz val="13"/>
        <color theme="1"/>
        <rFont val="Calibri"/>
      </rPr>
      <t xml:space="preserve"> έχουν ρυθμιστεί ώστε αυτόματα να εμφανίζουν την ημερομηνία, ώρα και χώρο εξέτασης με τα μαθήματα του ΝΠΣ, σύμφωνα με τις κατευθύνσεις των αρμόδιων διδασκόντων, δεν χρειάζονται περεταίρω επεξεργασία.</t>
    </r>
  </si>
  <si>
    <t>Τελικό Πρόγραμμα για ανάρτηση (οδηγίες για google sheets)</t>
  </si>
  <si>
    <t>Όταν το τελικό πρόγραμμα είναι διαμορφωμένο και οι απαραίτητες αλλαγές έχουν γίνει στην καρτέλα "Σύνοψη", μπορεί να δημιουργηθεί PDF με τα εξής βήματα:</t>
  </si>
  <si>
    <t>1) Επιλογή της καρτέλας "Πρόγραμμα"</t>
  </si>
  <si>
    <t>2) File/Αρχείο &gt; Download/Λήψη &gt; PDF (.pdf)</t>
  </si>
  <si>
    <t>3)Επιβεβαίωση ότι οι επιλογές στο "Export" είναι όπως στην εικόνα (η ημερομηνία &amp; η ώρα είναι χρήσιμα πεδία όταν έχουν φτιαχτεί πολλαπλά pdf για να φαίνεται ποιο είναι το πιο πρόσφατο) &gt; επιλέγετε το κουμπί EXPORT και γίνεται λήψη του PDF</t>
  </si>
  <si>
    <t>Χειρουργική IV (Πρακτικά) (4η ημέρα) -9:00-11:00 (Νέες αίθουσες)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</si>
</sst>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ddd&quot;, &quot;dd&quot;/&quot;mm&quot;/&quot;yyyy"/>
    <numFmt numFmtId="166" formatCode="hh:mm"/>
    <numFmt numFmtId="167" formatCode="hh&quot;:&quot;mm"/>
  </numFmts>
  <fonts count="2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rgb="FF990000"/>
      <name val="Calibri"/>
      <scheme val="minor"/>
    </font>
    <font>
      <b/>
      <sz val="11"/>
      <color rgb="FFFFFFFF"/>
      <name val="Calibri"/>
      <scheme val="minor"/>
    </font>
    <font>
      <b/>
      <sz val="11"/>
      <color rgb="FF666666"/>
      <name val="Calibri"/>
      <scheme val="minor"/>
    </font>
    <font>
      <sz val="11"/>
      <color theme="1"/>
      <name val="Calibri"/>
    </font>
    <font>
      <sz val="13"/>
      <color theme="1"/>
      <name val="Calibri"/>
    </font>
    <font>
      <sz val="11"/>
      <color rgb="FFFFFFFF"/>
      <name val="Calibri"/>
    </font>
    <font>
      <b/>
      <sz val="13"/>
      <color theme="1"/>
      <name val="Calibri"/>
    </font>
    <font>
      <b/>
      <sz val="11"/>
      <color rgb="FFFFFFFF"/>
      <name val="Calibri"/>
    </font>
    <font>
      <i/>
      <sz val="13"/>
      <color theme="1"/>
      <name val="Calibri"/>
    </font>
    <font>
      <b/>
      <sz val="13"/>
      <color rgb="FFFF9900"/>
      <name val="Calibri"/>
    </font>
    <font>
      <b/>
      <sz val="13"/>
      <color rgb="FF6AA84F"/>
      <name val="Calibri"/>
    </font>
    <font>
      <b/>
      <sz val="13"/>
      <color rgb="FFE06666"/>
      <name val="Calibri"/>
    </font>
    <font>
      <sz val="11"/>
      <color theme="1"/>
      <name val="Calibri"/>
      <family val="2"/>
      <charset val="161"/>
      <scheme val="minor"/>
    </font>
    <font>
      <b/>
      <sz val="11"/>
      <color theme="2" tint="-0.749992370372631"/>
      <name val="Calibri"/>
      <family val="2"/>
      <charset val="161"/>
      <scheme val="minor"/>
    </font>
    <font>
      <b/>
      <sz val="11"/>
      <color theme="7" tint="-0.499984740745262"/>
      <name val="Calibri"/>
      <family val="2"/>
      <charset val="161"/>
      <scheme val="minor"/>
    </font>
    <font>
      <b/>
      <sz val="11"/>
      <color rgb="FF706000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666666"/>
        <bgColor rgb="FF666666"/>
      </patternFill>
    </fill>
    <fill>
      <patternFill patternType="solid">
        <fgColor rgb="FFF4CCCC"/>
        <bgColor rgb="FFF4CCCC"/>
      </patternFill>
    </fill>
    <fill>
      <patternFill patternType="solid">
        <fgColor rgb="FFD9D9D9"/>
        <bgColor rgb="FFD9D9D9"/>
      </patternFill>
    </fill>
    <fill>
      <patternFill patternType="solid">
        <fgColor rgb="FF434343"/>
        <bgColor rgb="FF434343"/>
      </patternFill>
    </fill>
    <fill>
      <patternFill patternType="solid">
        <fgColor rgb="FFD0E0E3"/>
        <bgColor rgb="FFD0E0E3"/>
      </patternFill>
    </fill>
    <fill>
      <patternFill patternType="solid">
        <fgColor rgb="FFF9CB9C"/>
        <bgColor rgb="FFF9CB9C"/>
      </patternFill>
    </fill>
    <fill>
      <patternFill patternType="solid">
        <fgColor theme="2" tint="-9.9978637043366805E-2"/>
        <bgColor rgb="FF0B5394"/>
      </patternFill>
    </fill>
    <fill>
      <patternFill patternType="solid">
        <fgColor rgb="FFFFEF8F"/>
        <bgColor rgb="FF7F6000"/>
      </patternFill>
    </fill>
    <fill>
      <patternFill patternType="solid">
        <fgColor theme="8" tint="0.59999389629810485"/>
        <bgColor rgb="FFB45F0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7E6A4"/>
        <bgColor rgb="FF274E13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3" borderId="2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3" borderId="5" xfId="0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3" fontId="2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/>
    <xf numFmtId="164" fontId="2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164" fontId="1" fillId="3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167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/>
    <xf numFmtId="0" fontId="6" fillId="6" borderId="0" xfId="0" applyFont="1" applyFill="1"/>
    <xf numFmtId="0" fontId="7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7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0" fillId="0" borderId="16" xfId="0" applyBorder="1"/>
    <xf numFmtId="0" fontId="1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164" fontId="2" fillId="0" borderId="17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1" fillId="2" borderId="21" xfId="0" applyFont="1" applyFill="1" applyBorder="1" applyAlignment="1">
      <alignment horizontal="right" wrapText="1"/>
    </xf>
    <xf numFmtId="0" fontId="2" fillId="3" borderId="14" xfId="0" applyFont="1" applyFill="1" applyBorder="1" applyAlignment="1">
      <alignment wrapText="1"/>
    </xf>
    <xf numFmtId="0" fontId="16" fillId="9" borderId="14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left" wrapText="1"/>
    </xf>
    <xf numFmtId="0" fontId="18" fillId="10" borderId="14" xfId="0" applyFont="1" applyFill="1" applyBorder="1" applyAlignment="1">
      <alignment horizontal="center" vertical="center" wrapText="1"/>
    </xf>
    <xf numFmtId="0" fontId="19" fillId="11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3" fontId="2" fillId="0" borderId="21" xfId="0" applyNumberFormat="1" applyFont="1" applyBorder="1" applyAlignment="1">
      <alignment wrapText="1"/>
    </xf>
    <xf numFmtId="0" fontId="1" fillId="1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2" fillId="3" borderId="30" xfId="0" applyFont="1" applyFill="1" applyBorder="1" applyAlignment="1">
      <alignment wrapText="1"/>
    </xf>
    <xf numFmtId="0" fontId="2" fillId="0" borderId="3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5" fontId="4" fillId="3" borderId="24" xfId="0" applyNumberFormat="1" applyFont="1" applyFill="1" applyBorder="1" applyAlignment="1">
      <alignment horizontal="center" vertical="center" wrapText="1"/>
    </xf>
    <xf numFmtId="166" fontId="1" fillId="2" borderId="25" xfId="0" applyNumberFormat="1" applyFont="1" applyFill="1" applyBorder="1" applyAlignment="1">
      <alignment horizontal="center" vertical="center" wrapText="1"/>
    </xf>
    <xf numFmtId="165" fontId="5" fillId="3" borderId="27" xfId="0" applyNumberFormat="1" applyFont="1" applyFill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165" fontId="5" fillId="3" borderId="28" xfId="0" applyNumberFormat="1" applyFont="1" applyFill="1" applyBorder="1" applyAlignment="1">
      <alignment horizontal="center" vertical="center" wrapText="1"/>
    </xf>
    <xf numFmtId="166" fontId="1" fillId="2" borderId="29" xfId="0" applyNumberFormat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6" fontId="1" fillId="2" borderId="18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166" fontId="1" fillId="2" borderId="20" xfId="0" applyNumberFormat="1" applyFont="1" applyFill="1" applyBorder="1" applyAlignment="1">
      <alignment horizontal="center" vertical="center" wrapText="1"/>
    </xf>
    <xf numFmtId="165" fontId="4" fillId="3" borderId="7" xfId="0" applyNumberFormat="1" applyFont="1" applyFill="1" applyBorder="1" applyAlignment="1">
      <alignment horizontal="center" vertical="center" wrapText="1"/>
    </xf>
    <xf numFmtId="166" fontId="1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1" xfId="0" applyBorder="1" applyAlignment="1">
      <alignment wrapText="1"/>
    </xf>
    <xf numFmtId="0" fontId="17" fillId="13" borderId="1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164" fontId="1" fillId="3" borderId="0" xfId="0" applyNumberFormat="1" applyFont="1" applyFill="1" applyAlignment="1">
      <alignment horizontal="center" vertical="center" wrapText="1"/>
    </xf>
    <xf numFmtId="0" fontId="0" fillId="0" borderId="0" xfId="0"/>
    <xf numFmtId="0" fontId="8" fillId="6" borderId="0" xfId="0" applyFont="1" applyFill="1" applyAlignment="1">
      <alignment horizontal="left" vertical="center" wrapText="1"/>
    </xf>
    <xf numFmtId="0" fontId="9" fillId="0" borderId="0" xfId="0" applyFont="1" applyAlignment="1">
      <alignment wrapText="1"/>
    </xf>
  </cellXfs>
  <cellStyles count="1">
    <cellStyle name="Κανονικό" xfId="0" builtinId="0"/>
  </cellStyles>
  <dxfs count="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FCE5CD"/>
          <bgColor rgb="FFFCE5CD"/>
        </patternFill>
      </fill>
    </dxf>
    <dxf>
      <font>
        <color rgb="FFEFEFEF"/>
      </font>
      <fill>
        <patternFill patternType="solid">
          <fgColor rgb="FFEFEFEF"/>
          <bgColor rgb="FFEFEFEF"/>
        </patternFill>
      </fill>
    </dxf>
    <dxf>
      <font>
        <color rgb="FF000000"/>
      </font>
      <fill>
        <patternFill patternType="solid">
          <fgColor rgb="FFB7E1CD"/>
          <bgColor rgb="FFB7E1CD"/>
        </patternFill>
      </fill>
    </dxf>
    <dxf>
      <font>
        <color rgb="FF666666"/>
      </font>
      <fill>
        <patternFill patternType="solid">
          <fgColor rgb="FF666666"/>
          <bgColor rgb="FF666666"/>
        </patternFill>
      </fill>
    </dxf>
  </dxfs>
  <tableStyles count="0" defaultTableStyle="TableStyleMedium2" defaultPivotStyle="PivotStyleLight16"/>
  <colors>
    <mruColors>
      <color rgb="FFC7E6A4"/>
      <color rgb="FF706000"/>
      <color rgb="FFFFE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752475</xdr:colOff>
      <xdr:row>2</xdr:row>
      <xdr:rowOff>190500</xdr:rowOff>
    </xdr:from>
    <xdr:ext cx="3905250" cy="447675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2152650</xdr:colOff>
      <xdr:row>6</xdr:row>
      <xdr:rowOff>38100</xdr:rowOff>
    </xdr:from>
    <xdr:ext cx="12030075" cy="3838575"/>
    <xdr:pic>
      <xdr:nvPicPr>
        <xdr:cNvPr id="3" name="image5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38400" y="1733550"/>
          <a:ext cx="12030075" cy="3838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8</xdr:row>
      <xdr:rowOff>9525</xdr:rowOff>
    </xdr:from>
    <xdr:ext cx="10134600" cy="1581150"/>
    <xdr:pic>
      <xdr:nvPicPr>
        <xdr:cNvPr id="4" name="image6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66975" y="6715125"/>
          <a:ext cx="10134600" cy="1581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10</xdr:row>
      <xdr:rowOff>19050</xdr:rowOff>
    </xdr:from>
    <xdr:ext cx="15859125" cy="14859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3875" y="8772525"/>
          <a:ext cx="15859125" cy="1485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314325</xdr:colOff>
      <xdr:row>18</xdr:row>
      <xdr:rowOff>209550</xdr:rowOff>
    </xdr:from>
    <xdr:ext cx="7372350" cy="1057275"/>
    <xdr:pic>
      <xdr:nvPicPr>
        <xdr:cNvPr id="6" name="image1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20</xdr:row>
      <xdr:rowOff>238125</xdr:rowOff>
    </xdr:from>
    <xdr:ext cx="8258175" cy="4600575"/>
    <xdr:pic>
      <xdr:nvPicPr>
        <xdr:cNvPr id="7" name="image3.png" title="Imag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219075</xdr:colOff>
      <xdr:row>23</xdr:row>
      <xdr:rowOff>38100</xdr:rowOff>
    </xdr:from>
    <xdr:ext cx="8401050" cy="5705475"/>
    <xdr:pic>
      <xdr:nvPicPr>
        <xdr:cNvPr id="8" name="image2.png" title="Ima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Ioli Moutsopoulou" id="{A251849A-D2E0-421A-B74F-379E5DBE27F0}" userId="" providerId="google-sheets"/>
</personList>
</file>

<file path=xl/theme/theme1.xml><?xml version="1.0" encoding="utf-8"?>
<a:theme xmlns:a="http://schemas.openxmlformats.org/drawingml/2006/main" name="Sheets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29" dT="2026-07-05T09:56:04.00" personId="{A251849A-D2E0-421A-B74F-379E5DBE27F0}" id="{40A9633C-4B40-4A0B-ABAC-58F9163EBA1F}">
    <text>Υπάρχει και στο 2ο έτος στο χειμερινό για φέτος επειδή έγινε η μετακίνηση και ενδέχεται να χρωστάνε φοιτητές και των 2 εξαμήνων. Από το επόμενο έτος μπορεί να μείνει μόνο στο 1ο έτος (είναι προσωρινά για διευκόλυνση του 2ου έτους, για να μην ψάχνει το μάθημα σε άλλο εξάμηνο ή θεωρεί ότι έχει παραλειφθεί)</text>
  </threadedComment>
  <threadedComment ref="F107" dT="2026-06-29T16:12:32.00" personId="{A251849A-D2E0-421A-B74F-379E5DBE27F0}" id="{11CD2E3C-6DC8-4902-8613-6AD6E9A90E20}" done="1">
    <text>οποιαδήποτε ώρα</text>
  </threadedComment>
  <threadedComment ref="E122" dT="2026-07-03T09:37:42.00" personId="{A251849A-D2E0-421A-B74F-379E5DBE27F0}" id="{B68C3CF4-4C17-452E-98E0-CF2773FA3EC3}">
    <text>αν χρειαστεί 2η ημέρα για προφορικά Αμοιρίδη</text>
  </threadedComment>
  <threadedComment ref="E167" dT="2026-07-04T18:50:48.00" personId="{A251849A-D2E0-421A-B74F-379E5DBE27F0}" id="{2C4723C7-44AD-4AFF-85AC-93F596341024}">
    <text>εάν χρειαστεί 2η ημέρα για προφορικά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6A5AF"/>
    <outlinePr summaryBelow="0" summaryRight="0"/>
    <pageSetUpPr fitToPage="1"/>
  </sheetPr>
  <dimension ref="A1:I289"/>
  <sheetViews>
    <sheetView tabSelected="1" workbookViewId="0">
      <pane xSplit="2" ySplit="3" topLeftCell="C127" activePane="bottomRight" state="frozen"/>
      <selection pane="topRight" activeCell="C1" sqref="C1"/>
      <selection pane="bottomLeft" activeCell="A4" sqref="A4"/>
      <selection pane="bottomRight" activeCell="H133" sqref="H133"/>
    </sheetView>
  </sheetViews>
  <sheetFormatPr defaultColWidth="14.42578125" defaultRowHeight="15" customHeight="1" x14ac:dyDescent="0.25"/>
  <cols>
    <col min="1" max="1" width="18.140625" style="100" customWidth="1"/>
    <col min="2" max="2" width="12.85546875" style="100" customWidth="1"/>
    <col min="3" max="8" width="32.28515625" style="101" customWidth="1"/>
    <col min="9" max="9" width="3.7109375" customWidth="1"/>
  </cols>
  <sheetData>
    <row r="1" spans="1:9" x14ac:dyDescent="0.25">
      <c r="A1" s="81" t="str">
        <f>Σύνοψη!C2</f>
        <v>Εξεταστική</v>
      </c>
      <c r="B1" s="5" t="str">
        <f>Σύνοψη!E2</f>
        <v>Σεπτεμβρίου</v>
      </c>
      <c r="C1" s="63" t="str">
        <f>Σύνοψη!C3</f>
        <v>Από</v>
      </c>
      <c r="D1" s="70">
        <f>Σύνοψη!E3</f>
        <v>46265</v>
      </c>
      <c r="E1" s="63" t="str">
        <f>Σύνοψη!C4</f>
        <v>Έως</v>
      </c>
      <c r="F1" s="70">
        <f>Σύνοψη!E4</f>
        <v>46283</v>
      </c>
      <c r="G1" s="63" t="str">
        <f>Σύνοψη!C5</f>
        <v>Διάρκεια</v>
      </c>
      <c r="H1" s="74" t="str">
        <f>Σύνοψη!E5</f>
        <v>3 εβδομάδες</v>
      </c>
      <c r="I1" s="1"/>
    </row>
    <row r="2" spans="1:9" x14ac:dyDescent="0.25">
      <c r="A2" s="82"/>
      <c r="B2" s="83"/>
      <c r="C2" s="64"/>
      <c r="D2" s="64"/>
      <c r="E2" s="64"/>
      <c r="F2" s="64"/>
      <c r="G2" s="64"/>
      <c r="H2" s="64"/>
      <c r="I2" s="3"/>
    </row>
    <row r="3" spans="1:9" x14ac:dyDescent="0.25">
      <c r="A3" s="84" t="s">
        <v>0</v>
      </c>
      <c r="B3" s="85" t="s">
        <v>1</v>
      </c>
      <c r="C3" s="65" t="s">
        <v>2</v>
      </c>
      <c r="D3" s="105" t="s">
        <v>3</v>
      </c>
      <c r="E3" s="71" t="s">
        <v>4</v>
      </c>
      <c r="F3" s="72" t="s">
        <v>5</v>
      </c>
      <c r="G3" s="73" t="s">
        <v>6</v>
      </c>
      <c r="H3" s="75" t="s">
        <v>7</v>
      </c>
      <c r="I3" s="3"/>
    </row>
    <row r="4" spans="1:9" s="102" customFormat="1" x14ac:dyDescent="0.25">
      <c r="A4" s="86">
        <f>$D$1</f>
        <v>46265</v>
      </c>
      <c r="B4" s="87">
        <v>0.33333333333333331</v>
      </c>
      <c r="C4" s="76" t="str">
        <f ca="1">IFERROR(__xludf.DUMMYFUNCTION("IFERROR(IF(SUMPRODUCT(('Σύνοψη'!$F$2:$F289=$A4)*('Σύνοψη'!$C$2:$C289=C$3)*('Σύνοψη'!$G$2:$G289=$B4))&gt;0,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'Σύνοψη'!$C$2:$C289=C$3)), IF(SUMPRODUCT(('Σύνοψη'!$F$2:$F289=$A4)*('Σύνοψη'!$C$2:$C289=C$3)*('Σύνοψη'!$G$2:$G289&lt;$B4)*('Σύνοψη'!$H$2:$H289&gt;$B4))&gt;0, CHAR(34), """") ), """")"),"")</f>
        <v/>
      </c>
      <c r="D4" s="76" t="str">
        <f ca="1">IFERROR(__xludf.DUMMYFUNCTION("IFERROR(IF(SUMPRODUCT(('Σύνοψη'!$F$2:$F289=$A4)*('Σύνοψη'!$C$2:$C289=D$3)*('Σύνοψη'!$G$2:$G289=$B4))&gt;0,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'Σύνοψη'!$C$2:$C289=D$3)), IF(SUMPRODUCT(('Σύνοψη'!$F$2:$F289=$A4)*('Σύνοψη'!$C$2:$C289=D$3)*('Σύνοψη'!$G$2:$G289&lt;$B4)*('Σύνοψη'!$H$2:$H289&gt;$B4))&gt;0, CHAR(34), """") ), """")"),"")</f>
        <v/>
      </c>
      <c r="E4" s="76" t="str">
        <f ca="1">IFERROR(__xludf.DUMMYFUNCTION("IFERROR(IF(SUMPRODUCT(('Σύνοψη'!$F$2:$F289=$A4)*('Σύνοψη'!$C$2:$C289=E$3)*('Σύνοψη'!$G$2:$G289=$B4))&gt;0,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'Σύνοψη'!$C$2:$C289=E$3)), IF(SUMPRODUCT(('Σύνοψη'!$F$2:$F289=$A4)*('Σύνοψη'!$C$2:$C289=E$3)*('Σύνοψη'!$G$2:$G289&lt;$B4)*('Σύνοψη'!$H$2:$H289&gt;$B4))&gt;0, CHAR(34), """") ), """")"),"")</f>
        <v/>
      </c>
      <c r="F4" s="76" t="str">
        <f ca="1">IFERROR(__xludf.DUMMYFUNCTION("IFERROR(IF(SUMPRODUCT(('Σύνοψη'!$F$2:$F289=$A4)*('Σύνοψη'!$C$2:$C289=F$3)*('Σύνοψη'!$G$2:$G289=$B4))&gt;0,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'Σύνοψη'!$C$2:$C289=F$3)), IF(SUMPRODUCT(('Σύνοψη'!$F$2:$F289=$A4)*('Σύνοψη'!$C$2:$C289=F$3)*('Σύνοψη'!$G$2:$G289&lt;$B4)*('Σύνοψη'!$H$2:$H289&gt;$B4))&gt;0, CHAR(34), """") ), """")"),"")</f>
        <v/>
      </c>
      <c r="G4" s="76" t="str">
        <f ca="1">IFERROR(__xludf.DUMMYFUNCTION("IFERROR(IF(SUMPRODUCT(('Σύνοψη'!$F$2:$F289=$A4)*('Σύνοψη'!$C$2:$C289=G$3)*('Σύνοψη'!$G$2:$G289=$B4))&gt;0,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'Σύνοψη'!$C$2:$C289=G$3)), IF(SUMPRODUCT(('Σύνοψη'!$F$2:$F289=$A4)*('Σύνοψη'!$C$2:$C289=G$3)*('Σύνοψη'!$G$2:$G289&lt;$B4)*('Σύνοψη'!$H$2:$H289&gt;$B4))&gt;0, CHAR(34), """") ), """")"),"")</f>
        <v/>
      </c>
      <c r="H4" s="76" t="str">
        <f ca="1">IFERROR(__xludf.DUMMYFUNCTION("IFERROR(IF(SUMPRODUCT(('Σύνοψη'!$F$2:$F289=$A4)*('Σύνοψη'!$C$2:$C289=H$3)*('Σύνοψη'!$G$2:$G289=$B4))&gt;0, TEXTJOIN(CHAR(10) &amp; ""-----------------------"" &amp; CHAR(10), TRUE, FILTER('Σύνοψη'!$E$2:$E289 &amp; "" - "" &amp; 'Σύνοψη'!$I$2:$I289 &amp; "" ("" &amp; 'Σύνοψη'!$J$2:$"&amp;"J289 &amp; "")"", 'Σύνοψη'!$F$2:$F289=$A4, 'Σύνοψη'!$G$2:$G289=$B4, 'Σύνοψη'!$C$2:$C289=H$3)), IF(SUMPRODUCT(('Σύνοψη'!$F$2:$F289=$A4)*('Σύνοψη'!$C$2:$C289=H$3)*('Σύνοψη'!$G$2:$G289&lt;$B4)*('Σύνοψη'!$H$2:$H289&gt;$B4))&gt;0, CHAR(34), """") ), """")"),"")</f>
        <v/>
      </c>
      <c r="I4" s="77"/>
    </row>
    <row r="5" spans="1:9" s="103" customFormat="1" ht="75" x14ac:dyDescent="0.25">
      <c r="A5" s="88">
        <f t="shared" ref="A5:A17" si="0">$A$4</f>
        <v>46265</v>
      </c>
      <c r="B5" s="89">
        <v>0.375</v>
      </c>
      <c r="C5" s="67" t="str">
        <f ca="1">IFERROR(__xludf.DUMMYFUNCTION("IFERROR(IF(SUMPRODUCT(('Σύνοψη'!$F$2:$F289=$A5)*('Σύνοψη'!$C$2:$C289=C$3)*('Σύνοψη'!$G$2:$G289=$B5))&gt;0,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'Σύνοψη'!$C$2:$C289=C$3)), IF(SUMPRODUCT(('Σύνοψη'!$F$2:$F289=$A5)*('Σύνοψη'!$C$2:$C289=C$3)*('Σύνοψη'!$G$2:$G289&lt;$B5)*('Σύνοψη'!$H$2:$H289&gt;$B5))&gt;0, CHAR(34), """") ), """")"),"")</f>
        <v/>
      </c>
      <c r="D5" s="67" t="str">
        <f ca="1">IFERROR(__xludf.DUMMYFUNCTION("IFERROR(IF(SUMPRODUCT(('Σύνοψη'!$F$2:$F289=$A5)*('Σύνοψη'!$C$2:$C289=D$3)*('Σύνοψη'!$G$2:$G289=$B5))&gt;0,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'Σύνοψη'!$C$2:$C289=D$3)), IF(SUMPRODUCT(('Σύνοψη'!$F$2:$F289=$A5)*('Σύνοψη'!$C$2:$C289=D$3)*('Σύνοψη'!$G$2:$G289&lt;$B5)*('Σύνοψη'!$H$2:$H289&gt;$B5))&gt;0, CHAR(34), """") ), """")"),"")</f>
        <v/>
      </c>
      <c r="E5" s="67" t="str">
        <f ca="1">IFERROR(__xludf.DUMMYFUNCTION("IFERROR(IF(SUMPRODUCT(('Σύνοψη'!$F$2:$F289=$A5)*('Σύνοψη'!$C$2:$C289=E$3)*('Σύνοψη'!$G$2:$G289=$B5))&gt;0,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'Σύνοψη'!$C$2:$C289=E$3)), IF(SUMPRODUCT(('Σύνοψη'!$F$2:$F289=$A5)*('Σύνοψη'!$C$2:$C289=E$3)*('Σύνοψη'!$G$2:$G289&lt;$B5)*('Σύνοψη'!$H$2:$H289&gt;$B5))&gt;0, CHAR(34), """") ), """")"),"")</f>
        <v/>
      </c>
      <c r="F5" s="67" t="str">
        <f ca="1">IFERROR(__xludf.DUMMYFUNCTION("IFERROR(IF(SUMPRODUCT(('Σύνοψη'!$F$2:$F289=$A5)*('Σύνοψη'!$C$2:$C289=F$3)*('Σύνοψη'!$G$2:$G289=$B5))&gt;0,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'Σύνοψη'!$C$2:$C289=F$3)), IF(SUMPRODUCT(('Σύνοψη'!$F$2:$F289=$A5)*('Σύνοψη'!$C$2:$C289=F$3)*('Σύνοψη'!$G$2:$G289&lt;$B5)*('Σύνοψη'!$H$2:$H289&gt;$B5))&gt;0, CHAR(34), """") ), """")"),"")</f>
        <v/>
      </c>
      <c r="G5" s="67" t="str">
        <f ca="1">IFERROR(__xludf.DUMMYFUNCTION("IFERROR(IF(SUMPRODUCT(('Σύνοψη'!$F$2:$F289=$A5)*('Σύνοψη'!$C$2:$C289=G$3)*('Σύνοψη'!$G$2:$G289=$B5))&gt;0,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'Σύνοψη'!$C$2:$C289=G$3)), IF(SUMPRODUCT(('Σύνοψη'!$F$2:$F289=$A5)*('Σύνοψη'!$C$2:$C289=G$3)*('Σύνοψη'!$G$2:$G289&lt;$B5)*('Σύνοψη'!$H$2:$H289&gt;$B5))&gt;0, CHAR(34), """") ), """")"),"Πρακτική Άσκηση στη Διαγνωστική Παθολογική Ανατομική ΙΙ (Γραπτά) - 09:00 - 12:00 (Αίθουσα Έναντι Χειρουργικής)")</f>
        <v>Πρακτική Άσκηση στη Διαγνωστική Παθολογική Ανατομική ΙΙ (Γραπτά) - 09:00 - 12:00 (Αίθουσα Έναντι Χειρουργικής)</v>
      </c>
      <c r="H5" s="67" t="str">
        <f ca="1">IFERROR(__xludf.DUMMYFUNCTION("IFERROR(IF(SUMPRODUCT(('Σύνοψη'!$F$2:$F289=$A5)*('Σύνοψη'!$C$2:$C289=H$3)*('Σύνοψη'!$G$2:$G289=$B5))&gt;0, TEXTJOIN(CHAR(10) &amp; ""-----------------------"" &amp; CHAR(10), TRUE, FILTER('Σύνοψη'!$E$2:$E289 &amp; "" - "" &amp; 'Σύνοψη'!$I$2:$I289 &amp; "" ("" &amp; 'Σύνοψη'!$J$2:$"&amp;"J289 &amp; "")"", 'Σύνοψη'!$F$2:$F289=$A5, 'Σύνοψη'!$G$2:$G289=$B5, 'Σύνοψη'!$C$2:$C289=H$3)), IF(SUMPRODUCT(('Σύνοψη'!$F$2:$F289=$A5)*('Σύνοψη'!$C$2:$C289=H$3)*('Σύνοψη'!$G$2:$G289&lt;$B5)*('Σύνοψη'!$H$2:$H289&gt;$B5))&gt;0, CHAR(34), """") ), """")"),"")</f>
        <v/>
      </c>
      <c r="I5" s="3"/>
    </row>
    <row r="6" spans="1:9" s="103" customFormat="1" x14ac:dyDescent="0.25">
      <c r="A6" s="88">
        <f t="shared" si="0"/>
        <v>46265</v>
      </c>
      <c r="B6" s="89">
        <v>0.41666666666666669</v>
      </c>
      <c r="C6" s="67" t="str">
        <f ca="1">IFERROR(__xludf.DUMMYFUNCTION("IFERROR(IF(SUMPRODUCT(('Σύνοψη'!$F$2:$F289=$A6)*('Σύνοψη'!$C$2:$C289=C$3)*('Σύνοψη'!$G$2:$G289=$B6))&gt;0,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'Σύνοψη'!$C$2:$C289=C$3)), IF(SUMPRODUCT(('Σύνοψη'!$F$2:$F289=$A6)*('Σύνοψη'!$C$2:$C289=C$3)*('Σύνοψη'!$G$2:$G289&lt;$B6)*('Σύνοψη'!$H$2:$H289&gt;$B6))&gt;0, CHAR(34), """") ), """")"),"")</f>
        <v/>
      </c>
      <c r="D6" s="67" t="str">
        <f ca="1">IFERROR(__xludf.DUMMYFUNCTION("IFERROR(IF(SUMPRODUCT(('Σύνοψη'!$F$2:$F289=$A6)*('Σύνοψη'!$C$2:$C289=D$3)*('Σύνοψη'!$G$2:$G289=$B6))&gt;0,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'Σύνοψη'!$C$2:$C289=D$3)), IF(SUMPRODUCT(('Σύνοψη'!$F$2:$F289=$A6)*('Σύνοψη'!$C$2:$C289=D$3)*('Σύνοψη'!$G$2:$G289&lt;$B6)*('Σύνοψη'!$H$2:$H289&gt;$B6))&gt;0, CHAR(34), """") ), """")"),"")</f>
        <v/>
      </c>
      <c r="E6" s="67" t="str">
        <f ca="1">IFERROR(__xludf.DUMMYFUNCTION("IFERROR(IF(SUMPRODUCT(('Σύνοψη'!$F$2:$F289=$A6)*('Σύνοψη'!$C$2:$C289=E$3)*('Σύνοψη'!$G$2:$G289=$B6))&gt;0,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'Σύνοψη'!$C$2:$C289=E$3)), IF(SUMPRODUCT(('Σύνοψη'!$F$2:$F289=$A6)*('Σύνοψη'!$C$2:$C289=E$3)*('Σύνοψη'!$G$2:$G289&lt;$B6)*('Σύνοψη'!$H$2:$H289&gt;$B6))&gt;0, CHAR(34), """") ), """")"),"")</f>
        <v/>
      </c>
      <c r="F6" s="67" t="str">
        <f ca="1">IFERROR(__xludf.DUMMYFUNCTION("IFERROR(IF(SUMPRODUCT(('Σύνοψη'!$F$2:$F289=$A6)*('Σύνοψη'!$C$2:$C289=F$3)*('Σύνοψη'!$G$2:$G289=$B6))&gt;0,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'Σύνοψη'!$C$2:$C289=F$3)), IF(SUMPRODUCT(('Σύνοψη'!$F$2:$F289=$A6)*('Σύνοψη'!$C$2:$C289=F$3)*('Σύνοψη'!$G$2:$G289&lt;$B6)*('Σύνοψη'!$H$2:$H289&gt;$B6))&gt;0, CHAR(34), """") ), """")"),"")</f>
        <v/>
      </c>
      <c r="G6" s="67" t="str">
        <f ca="1">IFERROR(__xludf.DUMMYFUNCTION("IFERROR(IF(SUMPRODUCT(('Σύνοψη'!$F$2:$F289=$A6)*('Σύνοψη'!$C$2:$C289=G$3)*('Σύνοψη'!$G$2:$G289=$B6))&gt;0,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'Σύνοψη'!$C$2:$C289=G$3)), IF(SUMPRODUCT(('Σύνοψη'!$F$2:$F289=$A6)*('Σύνοψη'!$C$2:$C289=G$3)*('Σύνοψη'!$G$2:$G289&lt;$B6)*('Σύνοψη'!$H$2:$H289&gt;$B6))&gt;0, CHAR(34), """") ), """")"),"""")</f>
        <v>"</v>
      </c>
      <c r="H6" s="67" t="str">
        <f ca="1">IFERROR(__xludf.DUMMYFUNCTION("IFERROR(IF(SUMPRODUCT(('Σύνοψη'!$F$2:$F289=$A6)*('Σύνοψη'!$C$2:$C289=H$3)*('Σύνοψη'!$G$2:$G289=$B6))&gt;0, TEXTJOIN(CHAR(10) &amp; ""-----------------------"" &amp; CHAR(10), TRUE, FILTER('Σύνοψη'!$E$2:$E289 &amp; "" - "" &amp; 'Σύνοψη'!$I$2:$I289 &amp; "" ("" &amp; 'Σύνοψη'!$J$2:$"&amp;"J289 &amp; "")"", 'Σύνοψη'!$F$2:$F289=$A6, 'Σύνοψη'!$G$2:$G289=$B6, 'Σύνοψη'!$C$2:$C289=H$3)), IF(SUMPRODUCT(('Σύνοψη'!$F$2:$F289=$A6)*('Σύνοψη'!$C$2:$C289=H$3)*('Σύνοψη'!$G$2:$G289&lt;$B6)*('Σύνοψη'!$H$2:$H289&gt;$B6))&gt;0, CHAR(34), """") ), """")"),"")</f>
        <v/>
      </c>
      <c r="I6" s="3"/>
    </row>
    <row r="7" spans="1:9" s="103" customFormat="1" x14ac:dyDescent="0.25">
      <c r="A7" s="88">
        <f t="shared" si="0"/>
        <v>46265</v>
      </c>
      <c r="B7" s="89">
        <v>0.45833333333333331</v>
      </c>
      <c r="C7" s="67" t="str">
        <f ca="1">IFERROR(__xludf.DUMMYFUNCTION("IFERROR(IF(SUMPRODUCT(('Σύνοψη'!$F$2:$F289=$A7)*('Σύνοψη'!$C$2:$C289=C$3)*('Σύνοψη'!$G$2:$G289=$B7))&gt;0,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'Σύνοψη'!$C$2:$C289=C$3)), IF(SUMPRODUCT(('Σύνοψη'!$F$2:$F289=$A7)*('Σύνοψη'!$C$2:$C289=C$3)*('Σύνοψη'!$G$2:$G289&lt;$B7)*('Σύνοψη'!$H$2:$H289&gt;$B7))&gt;0, CHAR(34), """") ), """")"),"")</f>
        <v/>
      </c>
      <c r="D7" s="67" t="str">
        <f ca="1">IFERROR(__xludf.DUMMYFUNCTION("IFERROR(IF(SUMPRODUCT(('Σύνοψη'!$F$2:$F289=$A7)*('Σύνοψη'!$C$2:$C289=D$3)*('Σύνοψη'!$G$2:$G289=$B7))&gt;0,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'Σύνοψη'!$C$2:$C289=D$3)), IF(SUMPRODUCT(('Σύνοψη'!$F$2:$F289=$A7)*('Σύνοψη'!$C$2:$C289=D$3)*('Σύνοψη'!$G$2:$G289&lt;$B7)*('Σύνοψη'!$H$2:$H289&gt;$B7))&gt;0, CHAR(34), """") ), """")"),"")</f>
        <v/>
      </c>
      <c r="E7" s="67" t="str">
        <f ca="1">IFERROR(__xludf.DUMMYFUNCTION("IFERROR(IF(SUMPRODUCT(('Σύνοψη'!$F$2:$F289=$A7)*('Σύνοψη'!$C$2:$C289=E$3)*('Σύνοψη'!$G$2:$G289=$B7))&gt;0,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'Σύνοψη'!$C$2:$C289=E$3)), IF(SUMPRODUCT(('Σύνοψη'!$F$2:$F289=$A7)*('Σύνοψη'!$C$2:$C289=E$3)*('Σύνοψη'!$G$2:$G289&lt;$B7)*('Σύνοψη'!$H$2:$H289&gt;$B7))&gt;0, CHAR(34), """") ), """")"),"")</f>
        <v/>
      </c>
      <c r="F7" s="67" t="str">
        <f ca="1">IFERROR(__xludf.DUMMYFUNCTION("IFERROR(IF(SUMPRODUCT(('Σύνοψη'!$F$2:$F289=$A7)*('Σύνοψη'!$C$2:$C289=F$3)*('Σύνοψη'!$G$2:$G289=$B7))&gt;0,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'Σύνοψη'!$C$2:$C289=F$3)), IF(SUMPRODUCT(('Σύνοψη'!$F$2:$F289=$A7)*('Σύνοψη'!$C$2:$C289=F$3)*('Σύνοψη'!$G$2:$G289&lt;$B7)*('Σύνοψη'!$H$2:$H289&gt;$B7))&gt;0, CHAR(34), """") ), """")"),"")</f>
        <v/>
      </c>
      <c r="G7" s="67" t="str">
        <f ca="1">IFERROR(__xludf.DUMMYFUNCTION("IFERROR(IF(SUMPRODUCT(('Σύνοψη'!$F$2:$F289=$A7)*('Σύνοψη'!$C$2:$C289=G$3)*('Σύνοψη'!$G$2:$G289=$B7))&gt;0,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'Σύνοψη'!$C$2:$C289=G$3)), IF(SUMPRODUCT(('Σύνοψη'!$F$2:$F289=$A7)*('Σύνοψη'!$C$2:$C289=G$3)*('Σύνοψη'!$G$2:$G289&lt;$B7)*('Σύνοψη'!$H$2:$H289&gt;$B7))&gt;0, CHAR(34), """") ), """")"),"""")</f>
        <v>"</v>
      </c>
      <c r="H7" s="67" t="str">
        <f ca="1">IFERROR(__xludf.DUMMYFUNCTION("IFERROR(IF(SUMPRODUCT(('Σύνοψη'!$F$2:$F289=$A7)*('Σύνοψη'!$C$2:$C289=H$3)*('Σύνοψη'!$G$2:$G289=$B7))&gt;0, TEXTJOIN(CHAR(10) &amp; ""-----------------------"" &amp; CHAR(10), TRUE, FILTER('Σύνοψη'!$E$2:$E289 &amp; "" - "" &amp; 'Σύνοψη'!$I$2:$I289 &amp; "" ("" &amp; 'Σύνοψη'!$J$2:$"&amp;"J289 &amp; "")"", 'Σύνοψη'!$F$2:$F289=$A7, 'Σύνοψη'!$G$2:$G289=$B7, 'Σύνοψη'!$C$2:$C289=H$3)), IF(SUMPRODUCT(('Σύνοψη'!$F$2:$F289=$A7)*('Σύνοψη'!$C$2:$C289=H$3)*('Σύνοψη'!$G$2:$G289&lt;$B7)*('Σύνοψη'!$H$2:$H289&gt;$B7))&gt;0, CHAR(34), """") ), """")"),"")</f>
        <v/>
      </c>
      <c r="I7" s="3"/>
    </row>
    <row r="8" spans="1:9" s="103" customFormat="1" ht="60" x14ac:dyDescent="0.25">
      <c r="A8" s="88">
        <f t="shared" si="0"/>
        <v>46265</v>
      </c>
      <c r="B8" s="89">
        <v>0.5</v>
      </c>
      <c r="C8" s="67" t="str">
        <f ca="1">IFERROR(__xludf.DUMMYFUNCTION("IFERROR(IF(SUMPRODUCT(('Σύνοψη'!$F$2:$F289=$A8)*('Σύνοψη'!$C$2:$C289=C$3)*('Σύνοψη'!$G$2:$G289=$B8))&gt;0,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'Σύνοψη'!$C$2:$C289=C$3)), IF(SUMPRODUCT(('Σύνοψη'!$F$2:$F289=$A8)*('Σύνοψη'!$C$2:$C289=C$3)*('Σύνοψη'!$G$2:$G289&lt;$B8)*('Σύνοψη'!$H$2:$H289&gt;$B8))&gt;0, CHAR(34), """") ), """")"),"Ζωολογία - 12:00 - 15:00 (Αμφιθέατρα)")</f>
        <v>Ζωολογία - 12:00 - 15:00 (Αμφιθέατρα)</v>
      </c>
      <c r="D8" s="67" t="str">
        <f ca="1">IFERROR(__xludf.DUMMYFUNCTION("IFERROR(IF(SUMPRODUCT(('Σύνοψη'!$F$2:$F289=$A8)*('Σύνοψη'!$C$2:$C289=D$3)*('Σύνοψη'!$G$2:$G289=$B8))&gt;0,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'Σύνοψη'!$C$2:$C289=D$3)), IF(SUMPRODUCT(('Σύνοψη'!$F$2:$F289=$A8)*('Σύνοψη'!$C$2:$C289=D$3)*('Σύνοψη'!$G$2:$G289&lt;$B8)*('Σύνοψη'!$H$2:$H289&gt;$B8))&gt;0, CHAR(34), """") ), """")"),"")</f>
        <v/>
      </c>
      <c r="E8" s="67" t="str">
        <f ca="1">IFERROR(__xludf.DUMMYFUNCTION("IFERROR(IF(SUMPRODUCT(('Σύνοψη'!$F$2:$F289=$A8)*('Σύνοψη'!$C$2:$C289=E$3)*('Σύνοψη'!$G$2:$G289=$B8))&gt;0,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'Σύνοψη'!$C$2:$C289=E$3)), IF(SUMPRODUCT(('Σύνοψη'!$F$2:$F289=$A8)*('Σύνοψη'!$C$2:$C289=E$3)*('Σύνοψη'!$G$2:$G289&lt;$B8)*('Σύνοψη'!$H$2:$H289&gt;$B8))&gt;0, CHAR(34), """") ), """")"),"")</f>
        <v/>
      </c>
      <c r="F8" s="67" t="str">
        <f ca="1">IFERROR(__xludf.DUMMYFUNCTION("IFERROR(IF(SUMPRODUCT(('Σύνοψη'!$F$2:$F289=$A8)*('Σύνοψη'!$C$2:$C289=F$3)*('Σύνοψη'!$G$2:$G289=$B8))&gt;0,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'Σύνοψη'!$C$2:$C289=F$3)), IF(SUMPRODUCT(('Σύνοψη'!$F$2:$F289=$A8)*('Σύνοψη'!$C$2:$C289=F$3)*('Σύνοψη'!$G$2:$G289&lt;$B8)*('Σύνοψη'!$H$2:$H289&gt;$B8))&gt;0, CHAR(34), """") ), """")"),"")</f>
        <v/>
      </c>
      <c r="G8" s="67" t="str">
        <f ca="1">IFERROR(__xludf.DUMMYFUNCTION("IFERROR(IF(SUMPRODUCT(('Σύνοψη'!$F$2:$F289=$A8)*('Σύνοψη'!$C$2:$C289=G$3)*('Σύνοψη'!$G$2:$G289=$B8))&gt;0,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'Σύνοψη'!$C$2:$C289=G$3)), IF(SUMPRODUCT(('Σύνοψη'!$F$2:$F289=$A8)*('Σύνοψη'!$C$2:$C289=G$3)*('Σύνοψη'!$G$2:$G289&lt;$B8)*('Σύνοψη'!$H$2:$H289&gt;$B8))&gt;0, CHAR(34), """") ), """")"),"Πρακτική Άσκηση στη Διαγνωστική Παθολογική Ανατομική ΙΙ (Πρακτικά) - 12:00 - 17:00 (Νεκροτομείο)")</f>
        <v>Πρακτική Άσκηση στη Διαγνωστική Παθολογική Ανατομική ΙΙ (Πρακτικά) - 12:00 - 17:00 (Νεκροτομείο)</v>
      </c>
      <c r="H8" s="67" t="str">
        <f ca="1">IFERROR(__xludf.DUMMYFUNCTION("IFERROR(IF(SUMPRODUCT(('Σύνοψη'!$F$2:$F289=$A8)*('Σύνοψη'!$C$2:$C289=H$3)*('Σύνοψη'!$G$2:$G289=$B8))&gt;0, TEXTJOIN(CHAR(10) &amp; ""-----------------------"" &amp; CHAR(10), TRUE, FILTER('Σύνοψη'!$E$2:$E289 &amp; "" - "" &amp; 'Σύνοψη'!$I$2:$I289 &amp; "" ("" &amp; 'Σύνοψη'!$J$2:$"&amp;"J289 &amp; "")"", 'Σύνοψη'!$F$2:$F289=$A8, 'Σύνοψη'!$G$2:$G289=$B8, 'Σύνοψη'!$C$2:$C289=H$3)), IF(SUMPRODUCT(('Σύνοψη'!$F$2:$F289=$A8)*('Σύνοψη'!$C$2:$C289=H$3)*('Σύνοψη'!$G$2:$G289&lt;$B8)*('Σύνοψη'!$H$2:$H289&gt;$B8))&gt;0, CHAR(34), """") ), """")"),"")</f>
        <v/>
      </c>
      <c r="I8" s="3"/>
    </row>
    <row r="9" spans="1:9" s="103" customFormat="1" x14ac:dyDescent="0.25">
      <c r="A9" s="88">
        <f t="shared" si="0"/>
        <v>46265</v>
      </c>
      <c r="B9" s="89">
        <v>0.54166666666666663</v>
      </c>
      <c r="C9" s="67" t="str">
        <f ca="1">IFERROR(__xludf.DUMMYFUNCTION("IFERROR(IF(SUMPRODUCT(('Σύνοψη'!$F$2:$F289=$A9)*('Σύνοψη'!$C$2:$C289=C$3)*('Σύνοψη'!$G$2:$G289=$B9))&gt;0,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'Σύνοψη'!$C$2:$C289=C$3)), IF(SUMPRODUCT(('Σύνοψη'!$F$2:$F289=$A9)*('Σύνοψη'!$C$2:$C289=C$3)*('Σύνοψη'!$G$2:$G289&lt;$B9)*('Σύνοψη'!$H$2:$H289&gt;$B9))&gt;0, CHAR(34), """") ), """")"),"""")</f>
        <v>"</v>
      </c>
      <c r="D9" s="67" t="str">
        <f ca="1">IFERROR(__xludf.DUMMYFUNCTION("IFERROR(IF(SUMPRODUCT(('Σύνοψη'!$F$2:$F289=$A9)*('Σύνοψη'!$C$2:$C289=D$3)*('Σύνοψη'!$G$2:$G289=$B9))&gt;0,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'Σύνοψη'!$C$2:$C289=D$3)), IF(SUMPRODUCT(('Σύνοψη'!$F$2:$F289=$A9)*('Σύνοψη'!$C$2:$C289=D$3)*('Σύνοψη'!$G$2:$G289&lt;$B9)*('Σύνοψη'!$H$2:$H289&gt;$B9))&gt;0, CHAR(34), """") ), """")"),"")</f>
        <v/>
      </c>
      <c r="E9" s="67" t="str">
        <f ca="1">IFERROR(__xludf.DUMMYFUNCTION("IFERROR(IF(SUMPRODUCT(('Σύνοψη'!$F$2:$F289=$A9)*('Σύνοψη'!$C$2:$C289=E$3)*('Σύνοψη'!$G$2:$G289=$B9))&gt;0,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'Σύνοψη'!$C$2:$C289=E$3)), IF(SUMPRODUCT(('Σύνοψη'!$F$2:$F289=$A9)*('Σύνοψη'!$C$2:$C289=E$3)*('Σύνοψη'!$G$2:$G289&lt;$B9)*('Σύνοψη'!$H$2:$H289&gt;$B9))&gt;0, CHAR(34), """") ), """")"),"")</f>
        <v/>
      </c>
      <c r="F9" s="67" t="str">
        <f ca="1">IFERROR(__xludf.DUMMYFUNCTION("IFERROR(IF(SUMPRODUCT(('Σύνοψη'!$F$2:$F289=$A9)*('Σύνοψη'!$C$2:$C289=F$3)*('Σύνοψη'!$G$2:$G289=$B9))&gt;0,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'Σύνοψη'!$C$2:$C289=F$3)), IF(SUMPRODUCT(('Σύνοψη'!$F$2:$F289=$A9)*('Σύνοψη'!$C$2:$C289=F$3)*('Σύνοψη'!$G$2:$G289&lt;$B9)*('Σύνοψη'!$H$2:$H289&gt;$B9))&gt;0, CHAR(34), """") ), """")"),"")</f>
        <v/>
      </c>
      <c r="G9" s="67" t="str">
        <f ca="1">IFERROR(__xludf.DUMMYFUNCTION("IFERROR(IF(SUMPRODUCT(('Σύνοψη'!$F$2:$F289=$A9)*('Σύνοψη'!$C$2:$C289=G$3)*('Σύνοψη'!$G$2:$G289=$B9))&gt;0,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'Σύνοψη'!$C$2:$C289=G$3)), IF(SUMPRODUCT(('Σύνοψη'!$F$2:$F289=$A9)*('Σύνοψη'!$C$2:$C289=G$3)*('Σύνοψη'!$G$2:$G289&lt;$B9)*('Σύνοψη'!$H$2:$H289&gt;$B9))&gt;0, CHAR(34), """") ), """")"),"""")</f>
        <v>"</v>
      </c>
      <c r="H9" s="67" t="str">
        <f ca="1">IFERROR(__xludf.DUMMYFUNCTION("IFERROR(IF(SUMPRODUCT(('Σύνοψη'!$F$2:$F289=$A9)*('Σύνοψη'!$C$2:$C289=H$3)*('Σύνοψη'!$G$2:$G289=$B9))&gt;0, TEXTJOIN(CHAR(10) &amp; ""-----------------------"" &amp; CHAR(10), TRUE, FILTER('Σύνοψη'!$E$2:$E289 &amp; "" - "" &amp; 'Σύνοψη'!$I$2:$I289 &amp; "" ("" &amp; 'Σύνοψη'!$J$2:$"&amp;"J289 &amp; "")"", 'Σύνοψη'!$F$2:$F289=$A9, 'Σύνοψη'!$G$2:$G289=$B9, 'Σύνοψη'!$C$2:$C289=H$3)), IF(SUMPRODUCT(('Σύνοψη'!$F$2:$F289=$A9)*('Σύνοψη'!$C$2:$C289=H$3)*('Σύνοψη'!$G$2:$G289&lt;$B9)*('Σύνοψη'!$H$2:$H289&gt;$B9))&gt;0, CHAR(34), """") ), """")"),"")</f>
        <v/>
      </c>
      <c r="I9" s="3"/>
    </row>
    <row r="10" spans="1:9" s="103" customFormat="1" x14ac:dyDescent="0.25">
      <c r="A10" s="88">
        <f t="shared" si="0"/>
        <v>46265</v>
      </c>
      <c r="B10" s="89">
        <v>0.58333333333333337</v>
      </c>
      <c r="C10" s="67" t="str">
        <f ca="1">IFERROR(__xludf.DUMMYFUNCTION("IFERROR(IF(SUMPRODUCT(('Σύνοψη'!$F$2:$F289=$A10)*('Σύνοψη'!$C$2:$C289=C$3)*('Σύνοψη'!$G$2:$G289=$B10))&gt;0,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'Σύνοψη'!$C$2:$C289=C$3)), IF(SUMPRODUCT(('Σύνοψη'!$F$2:$F289=$A10)*('Σύνοψη'!$C$2:$C289=C$3)*('Σύνοψη'!$G$2:$G289&lt;$B10)*('Σύνοψη'!$H$2:$H289&gt;$B10))&gt;0, CHAR(34), """") ), """")"),"""")</f>
        <v>"</v>
      </c>
      <c r="D10" s="67" t="str">
        <f ca="1">IFERROR(__xludf.DUMMYFUNCTION("IFERROR(IF(SUMPRODUCT(('Σύνοψη'!$F$2:$F289=$A10)*('Σύνοψη'!$C$2:$C289=D$3)*('Σύνοψη'!$G$2:$G289=$B10))&gt;0,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'Σύνοψη'!$C$2:$C289=D$3)), IF(SUMPRODUCT(('Σύνοψη'!$F$2:$F289=$A10)*('Σύνοψη'!$C$2:$C289=D$3)*('Σύνοψη'!$G$2:$G289&lt;$B10)*('Σύνοψη'!$H$2:$H289&gt;$B10))&gt;0, CHAR(34), """") ), """")"),"")</f>
        <v/>
      </c>
      <c r="E10" s="67" t="str">
        <f ca="1">IFERROR(__xludf.DUMMYFUNCTION("IFERROR(IF(SUMPRODUCT(('Σύνοψη'!$F$2:$F289=$A10)*('Σύνοψη'!$C$2:$C289=E$3)*('Σύνοψη'!$G$2:$G289=$B10))&gt;0,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'Σύνοψη'!$C$2:$C289=E$3)), IF(SUMPRODUCT(('Σύνοψη'!$F$2:$F289=$A10)*('Σύνοψη'!$C$2:$C289=E$3)*('Σύνοψη'!$G$2:$G289&lt;$B10)*('Σύνοψη'!$H$2:$H289&gt;$B10))&gt;0, CHAR(34), """") ), """")"),"")</f>
        <v/>
      </c>
      <c r="F10" s="67" t="str">
        <f ca="1">IFERROR(__xludf.DUMMYFUNCTION("IFERROR(IF(SUMPRODUCT(('Σύνοψη'!$F$2:$F289=$A10)*('Σύνοψη'!$C$2:$C289=F$3)*('Σύνοψη'!$G$2:$G289=$B10))&gt;0,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'Σύνοψη'!$C$2:$C289=F$3)), IF(SUMPRODUCT(('Σύνοψη'!$F$2:$F289=$A10)*('Σύνοψη'!$C$2:$C289=F$3)*('Σύνοψη'!$G$2:$G289&lt;$B10)*('Σύνοψη'!$H$2:$H289&gt;$B10))&gt;0, CHAR(34), """") ), """")"),"")</f>
        <v/>
      </c>
      <c r="G10" s="67" t="str">
        <f ca="1">IFERROR(__xludf.DUMMYFUNCTION("IFERROR(IF(SUMPRODUCT(('Σύνοψη'!$F$2:$F289=$A10)*('Σύνοψη'!$C$2:$C289=G$3)*('Σύνοψη'!$G$2:$G289=$B10))&gt;0,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'Σύνοψη'!$C$2:$C289=G$3)), IF(SUMPRODUCT(('Σύνοψη'!$F$2:$F289=$A10)*('Σύνοψη'!$C$2:$C289=G$3)*('Σύνοψη'!$G$2:$G289&lt;$B10)*('Σύνοψη'!$H$2:$H289&gt;$B10))&gt;0, CHAR(34), """") ), """")"),"""")</f>
        <v>"</v>
      </c>
      <c r="H10" s="67" t="str">
        <f ca="1">IFERROR(__xludf.DUMMYFUNCTION("IFERROR(IF(SUMPRODUCT(('Σύνοψη'!$F$2:$F289=$A10)*('Σύνοψη'!$C$2:$C289=H$3)*('Σύνοψη'!$G$2:$G289=$B10))&gt;0, TEXTJOIN(CHAR(10) &amp; ""-----------------------"" &amp; CHAR(10), TRUE, FILTER('Σύνοψη'!$E$2:$E289 &amp; "" - "" &amp; 'Σύνοψη'!$I$2:$I289 &amp; "" ("" &amp; 'Σύνοψη'!$J$2"&amp;":$J289 &amp; "")"", 'Σύνοψη'!$F$2:$F289=$A10, 'Σύνοψη'!$G$2:$G289=$B10, 'Σύνοψη'!$C$2:$C289=H$3)), IF(SUMPRODUCT(('Σύνοψη'!$F$2:$F289=$A10)*('Σύνοψη'!$C$2:$C289=H$3)*('Σύνοψη'!$G$2:$G289&lt;$B10)*('Σύνοψη'!$H$2:$H289&gt;$B10))&gt;0, CHAR(34), """") ), """")"),"")</f>
        <v/>
      </c>
      <c r="I10" s="3"/>
    </row>
    <row r="11" spans="1:9" s="103" customFormat="1" ht="45" x14ac:dyDescent="0.25">
      <c r="A11" s="88">
        <f t="shared" si="0"/>
        <v>46265</v>
      </c>
      <c r="B11" s="89">
        <v>0.625</v>
      </c>
      <c r="C11" s="67" t="str">
        <f ca="1">IFERROR(__xludf.DUMMYFUNCTION("IFERROR(IF(SUMPRODUCT(('Σύνοψη'!$F$2:$F289=$A11)*('Σύνοψη'!$C$2:$C289=C$3)*('Σύνοψη'!$G$2:$G289=$B11))&gt;0,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'Σύνοψη'!$C$2:$C289=C$3)), IF(SUMPRODUCT(('Σύνοψη'!$F$2:$F289=$A11)*('Σύνοψη'!$C$2:$C289=C$3)*('Σύνοψη'!$G$2:$G289&lt;$B11)*('Σύνοψη'!$H$2:$H289&gt;$B11))&gt;0, CHAR(34), """") ), """")"),"")</f>
        <v/>
      </c>
      <c r="D11" s="67" t="str">
        <f ca="1">IFERROR(__xludf.DUMMYFUNCTION("IFERROR(IF(SUMPRODUCT(('Σύνοψη'!$F$2:$F289=$A11)*('Σύνοψη'!$C$2:$C289=D$3)*('Σύνοψη'!$G$2:$G289=$B11))&gt;0,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'Σύνοψη'!$C$2:$C289=D$3)), IF(SUMPRODUCT(('Σύνοψη'!$F$2:$F289=$A11)*('Σύνοψη'!$C$2:$C289=D$3)*('Σύνοψη'!$G$2:$G289&lt;$B11)*('Σύνοψη'!$H$2:$H289&gt;$B11))&gt;0, CHAR(34), """") ), """")"),"Κτηνιατρική Δεοντολογία &amp; Νομοθεσία - 15:00 - 18:00 (Αίθουσα Έναντι Χειρουργικής)")</f>
        <v>Κτηνιατρική Δεοντολογία &amp; Νομοθεσία - 15:00 - 18:00 (Αίθουσα Έναντι Χειρουργικής)</v>
      </c>
      <c r="E11" s="67" t="str">
        <f ca="1">IFERROR(__xludf.DUMMYFUNCTION("IFERROR(IF(SUMPRODUCT(('Σύνοψη'!$F$2:$F289=$A11)*('Σύνοψη'!$C$2:$C289=E$3)*('Σύνοψη'!$G$2:$G289=$B11))&gt;0,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'Σύνοψη'!$C$2:$C289=E$3)), IF(SUMPRODUCT(('Σύνοψη'!$F$2:$F289=$A11)*('Σύνοψη'!$C$2:$C289=E$3)*('Σύνοψη'!$G$2:$G289&lt;$B11)*('Σύνοψη'!$H$2:$H289&gt;$B11))&gt;0, CHAR(34), """") ), """")"),"")</f>
        <v/>
      </c>
      <c r="F11" s="67" t="str">
        <f ca="1">IFERROR(__xludf.DUMMYFUNCTION("IFERROR(IF(SUMPRODUCT(('Σύνοψη'!$F$2:$F289=$A11)*('Σύνοψη'!$C$2:$C289=F$3)*('Σύνοψη'!$G$2:$G289=$B11))&gt;0,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'Σύνοψη'!$C$2:$C289=F$3)), IF(SUMPRODUCT(('Σύνοψη'!$F$2:$F289=$A11)*('Σύνοψη'!$C$2:$C289=F$3)*('Σύνοψη'!$G$2:$G289&lt;$B11)*('Σύνοψη'!$H$2:$H289&gt;$B11))&gt;0, CHAR(34), """") ), """")"),"")</f>
        <v/>
      </c>
      <c r="G11" s="67" t="str">
        <f ca="1">IFERROR(__xludf.DUMMYFUNCTION("IFERROR(IF(SUMPRODUCT(('Σύνοψη'!$F$2:$F289=$A11)*('Σύνοψη'!$C$2:$C289=G$3)*('Σύνοψη'!$G$2:$G289=$B11))&gt;0,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'Σύνοψη'!$C$2:$C289=G$3)), IF(SUMPRODUCT(('Σύνοψη'!$F$2:$F289=$A11)*('Σύνοψη'!$C$2:$C289=G$3)*('Σύνοψη'!$G$2:$G289&lt;$B11)*('Σύνοψη'!$H$2:$H289&gt;$B11))&gt;0, CHAR(34), """") ), """")"),"""")</f>
        <v>"</v>
      </c>
      <c r="H11" s="67" t="str">
        <f ca="1">IFERROR(__xludf.DUMMYFUNCTION("IFERROR(IF(SUMPRODUCT(('Σύνοψη'!$F$2:$F289=$A11)*('Σύνοψη'!$C$2:$C289=H$3)*('Σύνοψη'!$G$2:$G289=$B11))&gt;0, TEXTJOIN(CHAR(10) &amp; ""-----------------------"" &amp; CHAR(10), TRUE, FILTER('Σύνοψη'!$E$2:$E289 &amp; "" - "" &amp; 'Σύνοψη'!$I$2:$I289 &amp; "" ("" &amp; 'Σύνοψη'!$J$2"&amp;":$J289 &amp; "")"", 'Σύνοψη'!$F$2:$F289=$A11, 'Σύνοψη'!$G$2:$G289=$B11, 'Σύνοψη'!$C$2:$C289=H$3)), IF(SUMPRODUCT(('Σύνοψη'!$F$2:$F289=$A11)*('Σύνοψη'!$C$2:$C289=H$3)*('Σύνοψη'!$G$2:$G289&lt;$B11)*('Σύνοψη'!$H$2:$H289&gt;$B11))&gt;0, CHAR(34), """") ), """")"),"")</f>
        <v/>
      </c>
      <c r="I11" s="3"/>
    </row>
    <row r="12" spans="1:9" s="103" customFormat="1" x14ac:dyDescent="0.25">
      <c r="A12" s="88">
        <f t="shared" si="0"/>
        <v>46265</v>
      </c>
      <c r="B12" s="89">
        <v>0.66666666666666663</v>
      </c>
      <c r="C12" s="67" t="str">
        <f ca="1">IFERROR(__xludf.DUMMYFUNCTION("IFERROR(IF(SUMPRODUCT(('Σύνοψη'!$F$2:$F289=$A12)*('Σύνοψη'!$C$2:$C289=C$3)*('Σύνοψη'!$G$2:$G289=$B12))&gt;0,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'Σύνοψη'!$C$2:$C289=C$3)), IF(SUMPRODUCT(('Σύνοψη'!$F$2:$F289=$A12)*('Σύνοψη'!$C$2:$C289=C$3)*('Σύνοψη'!$G$2:$G289&lt;$B12)*('Σύνοψη'!$H$2:$H289&gt;$B12))&gt;0, CHAR(34), """") ), """")"),"")</f>
        <v/>
      </c>
      <c r="D12" s="67" t="str">
        <f ca="1">IFERROR(__xludf.DUMMYFUNCTION("IFERROR(IF(SUMPRODUCT(('Σύνοψη'!$F$2:$F289=$A12)*('Σύνοψη'!$C$2:$C289=D$3)*('Σύνοψη'!$G$2:$G289=$B12))&gt;0,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'Σύνοψη'!$C$2:$C289=D$3)), IF(SUMPRODUCT(('Σύνοψη'!$F$2:$F289=$A12)*('Σύνοψη'!$C$2:$C289=D$3)*('Σύνοψη'!$G$2:$G289&lt;$B12)*('Σύνοψη'!$H$2:$H289&gt;$B12))&gt;0, CHAR(34), """") ), """")"),"""")</f>
        <v>"</v>
      </c>
      <c r="E12" s="67" t="str">
        <f ca="1">IFERROR(__xludf.DUMMYFUNCTION("IFERROR(IF(SUMPRODUCT(('Σύνοψη'!$F$2:$F289=$A12)*('Σύνοψη'!$C$2:$C289=E$3)*('Σύνοψη'!$G$2:$G289=$B12))&gt;0,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'Σύνοψη'!$C$2:$C289=E$3)), IF(SUMPRODUCT(('Σύνοψη'!$F$2:$F289=$A12)*('Σύνοψη'!$C$2:$C289=E$3)*('Σύνοψη'!$G$2:$G289&lt;$B12)*('Σύνοψη'!$H$2:$H289&gt;$B12))&gt;0, CHAR(34), """") ), """")"),"")</f>
        <v/>
      </c>
      <c r="F12" s="67" t="str">
        <f ca="1">IFERROR(__xludf.DUMMYFUNCTION("IFERROR(IF(SUMPRODUCT(('Σύνοψη'!$F$2:$F289=$A12)*('Σύνοψη'!$C$2:$C289=F$3)*('Σύνοψη'!$G$2:$G289=$B12))&gt;0,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'Σύνοψη'!$C$2:$C289=F$3)), IF(SUMPRODUCT(('Σύνοψη'!$F$2:$F289=$A12)*('Σύνοψη'!$C$2:$C289=F$3)*('Σύνοψη'!$G$2:$G289&lt;$B12)*('Σύνοψη'!$H$2:$H289&gt;$B12))&gt;0, CHAR(34), """") ), """")"),"")</f>
        <v/>
      </c>
      <c r="G12" s="67" t="str">
        <f ca="1">IFERROR(__xludf.DUMMYFUNCTION("IFERROR(IF(SUMPRODUCT(('Σύνοψη'!$F$2:$F289=$A12)*('Σύνοψη'!$C$2:$C289=G$3)*('Σύνοψη'!$G$2:$G289=$B12))&gt;0,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'Σύνοψη'!$C$2:$C289=G$3)), IF(SUMPRODUCT(('Σύνοψη'!$F$2:$F289=$A12)*('Σύνοψη'!$C$2:$C289=G$3)*('Σύνοψη'!$G$2:$G289&lt;$B12)*('Σύνοψη'!$H$2:$H289&gt;$B12))&gt;0, CHAR(34), """") ), """")"),"""")</f>
        <v>"</v>
      </c>
      <c r="H12" s="67" t="str">
        <f ca="1">IFERROR(__xludf.DUMMYFUNCTION("IFERROR(IF(SUMPRODUCT(('Σύνοψη'!$F$2:$F289=$A12)*('Σύνοψη'!$C$2:$C289=H$3)*('Σύνοψη'!$G$2:$G289=$B12))&gt;0, TEXTJOIN(CHAR(10) &amp; ""-----------------------"" &amp; CHAR(10), TRUE, FILTER('Σύνοψη'!$E$2:$E289 &amp; "" - "" &amp; 'Σύνοψη'!$I$2:$I289 &amp; "" ("" &amp; 'Σύνοψη'!$J$2"&amp;":$J289 &amp; "")"", 'Σύνοψη'!$F$2:$F289=$A12, 'Σύνοψη'!$G$2:$G289=$B12, 'Σύνοψη'!$C$2:$C289=H$3)), IF(SUMPRODUCT(('Σύνοψη'!$F$2:$F289=$A12)*('Σύνοψη'!$C$2:$C289=H$3)*('Σύνοψη'!$G$2:$G289&lt;$B12)*('Σύνοψη'!$H$2:$H289&gt;$B12))&gt;0, CHAR(34), """") ), """")"),"")</f>
        <v/>
      </c>
      <c r="I12" s="3"/>
    </row>
    <row r="13" spans="1:9" s="103" customFormat="1" x14ac:dyDescent="0.25">
      <c r="A13" s="88">
        <f t="shared" si="0"/>
        <v>46265</v>
      </c>
      <c r="B13" s="89">
        <v>0.70833333333333337</v>
      </c>
      <c r="C13" s="67" t="str">
        <f ca="1">IFERROR(__xludf.DUMMYFUNCTION("IFERROR(IF(SUMPRODUCT(('Σύνοψη'!$F$2:$F289=$A13)*('Σύνοψη'!$C$2:$C289=C$3)*('Σύνοψη'!$G$2:$G289=$B13))&gt;0,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'Σύνοψη'!$C$2:$C289=C$3)), IF(SUMPRODUCT(('Σύνοψη'!$F$2:$F289=$A13)*('Σύνοψη'!$C$2:$C289=C$3)*('Σύνοψη'!$G$2:$G289&lt;$B13)*('Σύνοψη'!$H$2:$H289&gt;$B13))&gt;0, CHAR(34), """") ), """")"),"")</f>
        <v/>
      </c>
      <c r="D13" s="67" t="str">
        <f ca="1">IFERROR(__xludf.DUMMYFUNCTION("IFERROR(IF(SUMPRODUCT(('Σύνοψη'!$F$2:$F289=$A13)*('Σύνοψη'!$C$2:$C289=D$3)*('Σύνοψη'!$G$2:$G289=$B13))&gt;0,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'Σύνοψη'!$C$2:$C289=D$3)), IF(SUMPRODUCT(('Σύνοψη'!$F$2:$F289=$A13)*('Σύνοψη'!$C$2:$C289=D$3)*('Σύνοψη'!$G$2:$G289&lt;$B13)*('Σύνοψη'!$H$2:$H289&gt;$B13))&gt;0, CHAR(34), """") ), """")"),"""")</f>
        <v>"</v>
      </c>
      <c r="E13" s="67" t="str">
        <f ca="1">IFERROR(__xludf.DUMMYFUNCTION("IFERROR(IF(SUMPRODUCT(('Σύνοψη'!$F$2:$F289=$A13)*('Σύνοψη'!$C$2:$C289=E$3)*('Σύνοψη'!$G$2:$G289=$B13))&gt;0,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'Σύνοψη'!$C$2:$C289=E$3)), IF(SUMPRODUCT(('Σύνοψη'!$F$2:$F289=$A13)*('Σύνοψη'!$C$2:$C289=E$3)*('Σύνοψη'!$G$2:$G289&lt;$B13)*('Σύνοψη'!$H$2:$H289&gt;$B13))&gt;0, CHAR(34), """") ), """")"),"")</f>
        <v/>
      </c>
      <c r="F13" s="67" t="str">
        <f ca="1">IFERROR(__xludf.DUMMYFUNCTION("IFERROR(IF(SUMPRODUCT(('Σύνοψη'!$F$2:$F289=$A13)*('Σύνοψη'!$C$2:$C289=F$3)*('Σύνοψη'!$G$2:$G289=$B13))&gt;0,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'Σύνοψη'!$C$2:$C289=F$3)), IF(SUMPRODUCT(('Σύνοψη'!$F$2:$F289=$A13)*('Σύνοψη'!$C$2:$C289=F$3)*('Σύνοψη'!$G$2:$G289&lt;$B13)*('Σύνοψη'!$H$2:$H289&gt;$B13))&gt;0, CHAR(34), """") ), """")"),"")</f>
        <v/>
      </c>
      <c r="G13" s="67" t="str">
        <f ca="1">IFERROR(__xludf.DUMMYFUNCTION("IFERROR(IF(SUMPRODUCT(('Σύνοψη'!$F$2:$F289=$A13)*('Σύνοψη'!$C$2:$C289=G$3)*('Σύνοψη'!$G$2:$G289=$B13))&gt;0,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'Σύνοψη'!$C$2:$C289=G$3)), IF(SUMPRODUCT(('Σύνοψη'!$F$2:$F289=$A13)*('Σύνοψη'!$C$2:$C289=G$3)*('Σύνοψη'!$G$2:$G289&lt;$B13)*('Σύνοψη'!$H$2:$H289&gt;$B13))&gt;0, CHAR(34), """") ), """")"),"")</f>
        <v/>
      </c>
      <c r="H13" s="67" t="str">
        <f ca="1">IFERROR(__xludf.DUMMYFUNCTION("IFERROR(IF(SUMPRODUCT(('Σύνοψη'!$F$2:$F289=$A13)*('Σύνοψη'!$C$2:$C289=H$3)*('Σύνοψη'!$G$2:$G289=$B13))&gt;0, TEXTJOIN(CHAR(10) &amp; ""-----------------------"" &amp; CHAR(10), TRUE, FILTER('Σύνοψη'!$E$2:$E289 &amp; "" - "" &amp; 'Σύνοψη'!$I$2:$I289 &amp; "" ("" &amp; 'Σύνοψη'!$J$2"&amp;":$J289 &amp; "")"", 'Σύνοψη'!$F$2:$F289=$A13, 'Σύνοψη'!$G$2:$G289=$B13, 'Σύνοψη'!$C$2:$C289=H$3)), IF(SUMPRODUCT(('Σύνοψη'!$F$2:$F289=$A13)*('Σύνοψη'!$C$2:$C289=H$3)*('Σύνοψη'!$G$2:$G289&lt;$B13)*('Σύνοψη'!$H$2:$H289&gt;$B13))&gt;0, CHAR(34), """") ), """")"),"")</f>
        <v/>
      </c>
      <c r="I13" s="3"/>
    </row>
    <row r="14" spans="1:9" s="103" customFormat="1" ht="45" x14ac:dyDescent="0.25">
      <c r="A14" s="88">
        <f t="shared" si="0"/>
        <v>46265</v>
      </c>
      <c r="B14" s="89">
        <v>0.75</v>
      </c>
      <c r="C14" s="67" t="str">
        <f ca="1">IFERROR(__xludf.DUMMYFUNCTION("IFERROR(IF(SUMPRODUCT(('Σύνοψη'!$F$2:$F289=$A14)*('Σύνοψη'!$C$2:$C289=C$3)*('Σύνοψη'!$G$2:$G289=$B14))&gt;0,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'Σύνοψη'!$C$2:$C289=C$3)), IF(SUMPRODUCT(('Σύνοψη'!$F$2:$F289=$A14)*('Σύνοψη'!$C$2:$C289=C$3)*('Σύνοψη'!$G$2:$G289&lt;$B14)*('Σύνοψη'!$H$2:$H289&gt;$B14))&gt;0, CHAR(34), """") ), """")"),"Οικολογία - 18:00 - 21:00 (Αμφιθέατρα)")</f>
        <v>Οικολογία - 18:00 - 21:00 (Αμφιθέατρα)</v>
      </c>
      <c r="D14" s="67" t="str">
        <f ca="1">IFERROR(__xludf.DUMMYFUNCTION("IFERROR(IF(SUMPRODUCT(('Σύνοψη'!$F$2:$F289=$A14)*('Σύνοψη'!$C$2:$C289=D$3)*('Σύνοψη'!$G$2:$G289=$B14))&gt;0,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'Σύνοψη'!$C$2:$C289=D$3)), IF(SUMPRODUCT(('Σύνοψη'!$F$2:$F289=$A14)*('Σύνοψη'!$C$2:$C289=D$3)*('Σύνοψη'!$G$2:$G289&lt;$B14)*('Σύνοψη'!$H$2:$H289&gt;$B14))&gt;0, CHAR(34), """") ), """")"),"")</f>
        <v/>
      </c>
      <c r="E14" s="67" t="str">
        <f ca="1">IFERROR(__xludf.DUMMYFUNCTION("IFERROR(IF(SUMPRODUCT(('Σύνοψη'!$F$2:$F289=$A14)*('Σύνοψη'!$C$2:$C289=E$3)*('Σύνοψη'!$G$2:$G289=$B14))&gt;0,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'Σύνοψη'!$C$2:$C289=E$3)), IF(SUMPRODUCT(('Σύνοψη'!$F$2:$F289=$A14)*('Σύνοψη'!$C$2:$C289=E$3)*('Σύνοψη'!$G$2:$G289&lt;$B14)*('Σύνοψη'!$H$2:$H289&gt;$B14))&gt;0, CHAR(34), """") ), """")"),"")</f>
        <v/>
      </c>
      <c r="F14" s="67" t="str">
        <f ca="1">IFERROR(__xludf.DUMMYFUNCTION("IFERROR(IF(SUMPRODUCT(('Σύνοψη'!$F$2:$F289=$A14)*('Σύνοψη'!$C$2:$C289=F$3)*('Σύνοψη'!$G$2:$G289=$B14))&gt;0,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'Σύνοψη'!$C$2:$C289=F$3)), IF(SUMPRODUCT(('Σύνοψη'!$F$2:$F289=$A14)*('Σύνοψη'!$C$2:$C289=F$3)*('Σύνοψη'!$G$2:$G289&lt;$B14)*('Σύνοψη'!$H$2:$H289&gt;$B14))&gt;0, CHAR(34), """") ), """")"),"")</f>
        <v/>
      </c>
      <c r="G14" s="67" t="str">
        <f ca="1">IFERROR(__xludf.DUMMYFUNCTION("IFERROR(IF(SUMPRODUCT(('Σύνοψη'!$F$2:$F289=$A14)*('Σύνοψη'!$C$2:$C289=G$3)*('Σύνοψη'!$G$2:$G289=$B14))&gt;0,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'Σύνοψη'!$C$2:$C289=G$3)), IF(SUMPRODUCT(('Σύνοψη'!$F$2:$F289=$A14)*('Σύνοψη'!$C$2:$C289=G$3)*('Σύνοψη'!$G$2:$G289&lt;$B14)*('Σύνοψη'!$H$2:$H289&gt;$B14))&gt;0, CHAR(34), """") ), """")"),"Όγκοι των Ζώων Συντροφιάς - 18:00 - 21:00 (Αίθουσα Έναντι Χειρουργικής)")</f>
        <v>Όγκοι των Ζώων Συντροφιάς - 18:00 - 21:00 (Αίθουσα Έναντι Χειρουργικής)</v>
      </c>
      <c r="H14" s="67" t="str">
        <f ca="1">IFERROR(__xludf.DUMMYFUNCTION("IFERROR(IF(SUMPRODUCT(('Σύνοψη'!$F$2:$F289=$A14)*('Σύνοψη'!$C$2:$C289=H$3)*('Σύνοψη'!$G$2:$G289=$B14))&gt;0, TEXTJOIN(CHAR(10) &amp; ""-----------------------"" &amp; CHAR(10), TRUE, FILTER('Σύνοψη'!$E$2:$E289 &amp; "" - "" &amp; 'Σύνοψη'!$I$2:$I289 &amp; "" ("" &amp; 'Σύνοψη'!$J$2"&amp;":$J289 &amp; "")"", 'Σύνοψη'!$F$2:$F289=$A14, 'Σύνοψη'!$G$2:$G289=$B14, 'Σύνοψη'!$C$2:$C289=H$3)), IF(SUMPRODUCT(('Σύνοψη'!$F$2:$F289=$A14)*('Σύνοψη'!$C$2:$C289=H$3)*('Σύνοψη'!$G$2:$G289&lt;$B14)*('Σύνοψη'!$H$2:$H289&gt;$B14))&gt;0, CHAR(34), """") ), """")"),"")</f>
        <v/>
      </c>
      <c r="I14" s="3"/>
    </row>
    <row r="15" spans="1:9" s="103" customFormat="1" x14ac:dyDescent="0.25">
      <c r="A15" s="88">
        <f t="shared" si="0"/>
        <v>46265</v>
      </c>
      <c r="B15" s="89">
        <v>0.79166666666666663</v>
      </c>
      <c r="C15" s="67" t="str">
        <f ca="1">IFERROR(__xludf.DUMMYFUNCTION("IFERROR(IF(SUMPRODUCT(('Σύνοψη'!$F$2:$F289=$A15)*('Σύνοψη'!$C$2:$C289=C$3)*('Σύνοψη'!$G$2:$G289=$B15))&gt;0,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'Σύνοψη'!$C$2:$C289=C$3)), IF(SUMPRODUCT(('Σύνοψη'!$F$2:$F289=$A15)*('Σύνοψη'!$C$2:$C289=C$3)*('Σύνοψη'!$G$2:$G289&lt;$B15)*('Σύνοψη'!$H$2:$H289&gt;$B15))&gt;0, CHAR(34), """") ), """")"),"""")</f>
        <v>"</v>
      </c>
      <c r="D15" s="67" t="str">
        <f ca="1">IFERROR(__xludf.DUMMYFUNCTION("IFERROR(IF(SUMPRODUCT(('Σύνοψη'!$F$2:$F289=$A15)*('Σύνοψη'!$C$2:$C289=D$3)*('Σύνοψη'!$G$2:$G289=$B15))&gt;0,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'Σύνοψη'!$C$2:$C289=D$3)), IF(SUMPRODUCT(('Σύνοψη'!$F$2:$F289=$A15)*('Σύνοψη'!$C$2:$C289=D$3)*('Σύνοψη'!$G$2:$G289&lt;$B15)*('Σύνοψη'!$H$2:$H289&gt;$B15))&gt;0, CHAR(34), """") ), """")"),"")</f>
        <v/>
      </c>
      <c r="E15" s="67" t="str">
        <f ca="1">IFERROR(__xludf.DUMMYFUNCTION("IFERROR(IF(SUMPRODUCT(('Σύνοψη'!$F$2:$F289=$A15)*('Σύνοψη'!$C$2:$C289=E$3)*('Σύνοψη'!$G$2:$G289=$B15))&gt;0,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'Σύνοψη'!$C$2:$C289=E$3)), IF(SUMPRODUCT(('Σύνοψη'!$F$2:$F289=$A15)*('Σύνοψη'!$C$2:$C289=E$3)*('Σύνοψη'!$G$2:$G289&lt;$B15)*('Σύνοψη'!$H$2:$H289&gt;$B15))&gt;0, CHAR(34), """") ), """")"),"")</f>
        <v/>
      </c>
      <c r="F15" s="67" t="str">
        <f ca="1">IFERROR(__xludf.DUMMYFUNCTION("IFERROR(IF(SUMPRODUCT(('Σύνοψη'!$F$2:$F289=$A15)*('Σύνοψη'!$C$2:$C289=F$3)*('Σύνοψη'!$G$2:$G289=$B15))&gt;0,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'Σύνοψη'!$C$2:$C289=F$3)), IF(SUMPRODUCT(('Σύνοψη'!$F$2:$F289=$A15)*('Σύνοψη'!$C$2:$C289=F$3)*('Σύνοψη'!$G$2:$G289&lt;$B15)*('Σύνοψη'!$H$2:$H289&gt;$B15))&gt;0, CHAR(34), """") ), """")"),"")</f>
        <v/>
      </c>
      <c r="G15" s="67" t="str">
        <f ca="1">IFERROR(__xludf.DUMMYFUNCTION("IFERROR(IF(SUMPRODUCT(('Σύνοψη'!$F$2:$F289=$A15)*('Σύνοψη'!$C$2:$C289=G$3)*('Σύνοψη'!$G$2:$G289=$B15))&gt;0,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'Σύνοψη'!$C$2:$C289=G$3)), IF(SUMPRODUCT(('Σύνοψη'!$F$2:$F289=$A15)*('Σύνοψη'!$C$2:$C289=G$3)*('Σύνοψη'!$G$2:$G289&lt;$B15)*('Σύνοψη'!$H$2:$H289&gt;$B15))&gt;0, CHAR(34), """") ), """")"),"""")</f>
        <v>"</v>
      </c>
      <c r="H15" s="67" t="str">
        <f ca="1">IFERROR(__xludf.DUMMYFUNCTION("IFERROR(IF(SUMPRODUCT(('Σύνοψη'!$F$2:$F289=$A15)*('Σύνοψη'!$C$2:$C289=H$3)*('Σύνοψη'!$G$2:$G289=$B15))&gt;0, TEXTJOIN(CHAR(10) &amp; ""-----------------------"" &amp; CHAR(10), TRUE, FILTER('Σύνοψη'!$E$2:$E289 &amp; "" - "" &amp; 'Σύνοψη'!$I$2:$I289 &amp; "" ("" &amp; 'Σύνοψη'!$J$2"&amp;":$J289 &amp; "")"", 'Σύνοψη'!$F$2:$F289=$A15, 'Σύνοψη'!$G$2:$G289=$B15, 'Σύνοψη'!$C$2:$C289=H$3)), IF(SUMPRODUCT(('Σύνοψη'!$F$2:$F289=$A15)*('Σύνοψη'!$C$2:$C289=H$3)*('Σύνοψη'!$G$2:$G289&lt;$B15)*('Σύνοψη'!$H$2:$H289&gt;$B15))&gt;0, CHAR(34), """") ), """")"),"")</f>
        <v/>
      </c>
      <c r="I15" s="3"/>
    </row>
    <row r="16" spans="1:9" s="103" customFormat="1" x14ac:dyDescent="0.25">
      <c r="A16" s="88">
        <f t="shared" si="0"/>
        <v>46265</v>
      </c>
      <c r="B16" s="89">
        <v>0.83333333333333337</v>
      </c>
      <c r="C16" s="67" t="str">
        <f ca="1">IFERROR(__xludf.DUMMYFUNCTION("IFERROR(IF(SUMPRODUCT(('Σύνοψη'!$F$2:$F289=$A16)*('Σύνοψη'!$C$2:$C289=C$3)*('Σύνοψη'!$G$2:$G289=$B16))&gt;0,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'Σύνοψη'!$C$2:$C289=C$3)), IF(SUMPRODUCT(('Σύνοψη'!$F$2:$F289=$A16)*('Σύνοψη'!$C$2:$C289=C$3)*('Σύνοψη'!$G$2:$G289&lt;$B16)*('Σύνοψη'!$H$2:$H289&gt;$B16))&gt;0, CHAR(34), """") ), """")"),"""")</f>
        <v>"</v>
      </c>
      <c r="D16" s="67" t="str">
        <f ca="1">IFERROR(__xludf.DUMMYFUNCTION("IFERROR(IF(SUMPRODUCT(('Σύνοψη'!$F$2:$F289=$A16)*('Σύνοψη'!$C$2:$C289=D$3)*('Σύνοψη'!$G$2:$G289=$B16))&gt;0,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'Σύνοψη'!$C$2:$C289=D$3)), IF(SUMPRODUCT(('Σύνοψη'!$F$2:$F289=$A16)*('Σύνοψη'!$C$2:$C289=D$3)*('Σύνοψη'!$G$2:$G289&lt;$B16)*('Σύνοψη'!$H$2:$H289&gt;$B16))&gt;0, CHAR(34), """") ), """")"),"")</f>
        <v/>
      </c>
      <c r="E16" s="67" t="str">
        <f ca="1">IFERROR(__xludf.DUMMYFUNCTION("IFERROR(IF(SUMPRODUCT(('Σύνοψη'!$F$2:$F289=$A16)*('Σύνοψη'!$C$2:$C289=E$3)*('Σύνοψη'!$G$2:$G289=$B16))&gt;0,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'Σύνοψη'!$C$2:$C289=E$3)), IF(SUMPRODUCT(('Σύνοψη'!$F$2:$F289=$A16)*('Σύνοψη'!$C$2:$C289=E$3)*('Σύνοψη'!$G$2:$G289&lt;$B16)*('Σύνοψη'!$H$2:$H289&gt;$B16))&gt;0, CHAR(34), """") ), """")"),"")</f>
        <v/>
      </c>
      <c r="F16" s="67" t="str">
        <f ca="1">IFERROR(__xludf.DUMMYFUNCTION("IFERROR(IF(SUMPRODUCT(('Σύνοψη'!$F$2:$F289=$A16)*('Σύνοψη'!$C$2:$C289=F$3)*('Σύνοψη'!$G$2:$G289=$B16))&gt;0,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'Σύνοψη'!$C$2:$C289=F$3)), IF(SUMPRODUCT(('Σύνοψη'!$F$2:$F289=$A16)*('Σύνοψη'!$C$2:$C289=F$3)*('Σύνοψη'!$G$2:$G289&lt;$B16)*('Σύνοψη'!$H$2:$H289&gt;$B16))&gt;0, CHAR(34), """") ), """")"),"")</f>
        <v/>
      </c>
      <c r="G16" s="67" t="str">
        <f ca="1">IFERROR(__xludf.DUMMYFUNCTION("IFERROR(IF(SUMPRODUCT(('Σύνοψη'!$F$2:$F289=$A16)*('Σύνοψη'!$C$2:$C289=G$3)*('Σύνοψη'!$G$2:$G289=$B16))&gt;0,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'Σύνοψη'!$C$2:$C289=G$3)), IF(SUMPRODUCT(('Σύνοψη'!$F$2:$F289=$A16)*('Σύνοψη'!$C$2:$C289=G$3)*('Σύνοψη'!$G$2:$G289&lt;$B16)*('Σύνοψη'!$H$2:$H289&gt;$B16))&gt;0, CHAR(34), """") ), """")"),"""")</f>
        <v>"</v>
      </c>
      <c r="H16" s="67" t="str">
        <f ca="1">IFERROR(__xludf.DUMMYFUNCTION("IFERROR(IF(SUMPRODUCT(('Σύνοψη'!$F$2:$F289=$A16)*('Σύνοψη'!$C$2:$C289=H$3)*('Σύνοψη'!$G$2:$G289=$B16))&gt;0, TEXTJOIN(CHAR(10) &amp; ""-----------------------"" &amp; CHAR(10), TRUE, FILTER('Σύνοψη'!$E$2:$E289 &amp; "" - "" &amp; 'Σύνοψη'!$I$2:$I289 &amp; "" ("" &amp; 'Σύνοψη'!$J$2"&amp;":$J289 &amp; "")"", 'Σύνοψη'!$F$2:$F289=$A16, 'Σύνοψη'!$G$2:$G289=$B16, 'Σύνοψη'!$C$2:$C289=H$3)), IF(SUMPRODUCT(('Σύνοψη'!$F$2:$F289=$A16)*('Σύνοψη'!$C$2:$C289=H$3)*('Σύνοψη'!$G$2:$G289&lt;$B16)*('Σύνοψη'!$H$2:$H289&gt;$B16))&gt;0, CHAR(34), """") ), """")"),"")</f>
        <v/>
      </c>
      <c r="I16" s="3"/>
    </row>
    <row r="17" spans="1:9" s="104" customFormat="1" x14ac:dyDescent="0.25">
      <c r="A17" s="90">
        <f t="shared" si="0"/>
        <v>46265</v>
      </c>
      <c r="B17" s="91">
        <v>0.875</v>
      </c>
      <c r="C17" s="78" t="str">
        <f ca="1">IFERROR(__xludf.DUMMYFUNCTION("IFERROR(IF(SUMPRODUCT(('Σύνοψη'!$F$2:$F289=$A17)*('Σύνοψη'!$C$2:$C289=C$3)*('Σύνοψη'!$G$2:$G289=$B17))&gt;0,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'Σύνοψη'!$C$2:$C289=C$3)), IF(SUMPRODUCT(('Σύνοψη'!$F$2:$F289=$A17)*('Σύνοψη'!$C$2:$C289=C$3)*('Σύνοψη'!$G$2:$G289&lt;$B17)*('Σύνοψη'!$H$2:$H289&gt;$B17))&gt;0, CHAR(34), """") ), """")"),"")</f>
        <v/>
      </c>
      <c r="D17" s="78" t="str">
        <f ca="1">IFERROR(__xludf.DUMMYFUNCTION("IFERROR(IF(SUMPRODUCT(('Σύνοψη'!$F$2:$F289=$A17)*('Σύνοψη'!$C$2:$C289=D$3)*('Σύνοψη'!$G$2:$G289=$B17))&gt;0,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'Σύνοψη'!$C$2:$C289=D$3)), IF(SUMPRODUCT(('Σύνοψη'!$F$2:$F289=$A17)*('Σύνοψη'!$C$2:$C289=D$3)*('Σύνοψη'!$G$2:$G289&lt;$B17)*('Σύνοψη'!$H$2:$H289&gt;$B17))&gt;0, CHAR(34), """") ), """")"),"")</f>
        <v/>
      </c>
      <c r="E17" s="78" t="str">
        <f ca="1">IFERROR(__xludf.DUMMYFUNCTION("IFERROR(IF(SUMPRODUCT(('Σύνοψη'!$F$2:$F289=$A17)*('Σύνοψη'!$C$2:$C289=E$3)*('Σύνοψη'!$G$2:$G289=$B17))&gt;0,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'Σύνοψη'!$C$2:$C289=E$3)), IF(SUMPRODUCT(('Σύνοψη'!$F$2:$F289=$A17)*('Σύνοψη'!$C$2:$C289=E$3)*('Σύνοψη'!$G$2:$G289&lt;$B17)*('Σύνοψη'!$H$2:$H289&gt;$B17))&gt;0, CHAR(34), """") ), """")"),"")</f>
        <v/>
      </c>
      <c r="F17" s="78" t="str">
        <f ca="1">IFERROR(__xludf.DUMMYFUNCTION("IFERROR(IF(SUMPRODUCT(('Σύνοψη'!$F$2:$F289=$A17)*('Σύνοψη'!$C$2:$C289=F$3)*('Σύνοψη'!$G$2:$G289=$B17))&gt;0,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'Σύνοψη'!$C$2:$C289=F$3)), IF(SUMPRODUCT(('Σύνοψη'!$F$2:$F289=$A17)*('Σύνοψη'!$C$2:$C289=F$3)*('Σύνοψη'!$G$2:$G289&lt;$B17)*('Σύνοψη'!$H$2:$H289&gt;$B17))&gt;0, CHAR(34), """") ), """")"),"")</f>
        <v/>
      </c>
      <c r="G17" s="78" t="str">
        <f ca="1">IFERROR(__xludf.DUMMYFUNCTION("IFERROR(IF(SUMPRODUCT(('Σύνοψη'!$F$2:$F289=$A17)*('Σύνοψη'!$C$2:$C289=G$3)*('Σύνοψη'!$G$2:$G289=$B17))&gt;0,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'Σύνοψη'!$C$2:$C289=G$3)), IF(SUMPRODUCT(('Σύνοψη'!$F$2:$F289=$A17)*('Σύνοψη'!$C$2:$C289=G$3)*('Σύνοψη'!$G$2:$G289&lt;$B17)*('Σύνοψη'!$H$2:$H289&gt;$B17))&gt;0, CHAR(34), """") ), """")"),"")</f>
        <v/>
      </c>
      <c r="H17" s="78" t="str">
        <f ca="1">IFERROR(__xludf.DUMMYFUNCTION("IFERROR(IF(SUMPRODUCT(('Σύνοψη'!$F$2:$F289=$A17)*('Σύνοψη'!$C$2:$C289=H$3)*('Σύνοψη'!$G$2:$G289=$B17))&gt;0, TEXTJOIN(CHAR(10) &amp; ""-----------------------"" &amp; CHAR(10), TRUE, FILTER('Σύνοψη'!$E$2:$E289 &amp; "" - "" &amp; 'Σύνοψη'!$I$2:$I289 &amp; "" ("" &amp; 'Σύνοψη'!$J$2"&amp;":$J289 &amp; "")"", 'Σύνοψη'!$F$2:$F289=$A17, 'Σύνοψη'!$G$2:$G289=$B17, 'Σύνοψη'!$C$2:$C289=H$3)), IF(SUMPRODUCT(('Σύνοψη'!$F$2:$F289=$A17)*('Σύνοψη'!$C$2:$C289=H$3)*('Σύνοψη'!$G$2:$G289&lt;$B17)*('Σύνοψη'!$H$2:$H289&gt;$B17))&gt;0, CHAR(34), """") ), """")"),"")</f>
        <v/>
      </c>
      <c r="I17" s="79"/>
    </row>
    <row r="18" spans="1:9" s="102" customFormat="1" x14ac:dyDescent="0.25">
      <c r="A18" s="86">
        <f>$D$1+1</f>
        <v>46266</v>
      </c>
      <c r="B18" s="87">
        <v>0.33333333333333331</v>
      </c>
      <c r="C18" s="76" t="str">
        <f ca="1">IFERROR(__xludf.DUMMYFUNCTION("IFERROR(IF(SUMPRODUCT(('Σύνοψη'!$F$2:$F289=$A18)*('Σύνοψη'!$C$2:$C289=C$3)*('Σύνοψη'!$G$2:$G289=$B18))&gt;0,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'Σύνοψη'!$C$2:$C289=C$3)), IF(SUMPRODUCT(('Σύνοψη'!$F$2:$F289=$A18)*('Σύνοψη'!$C$2:$C289=C$3)*('Σύνοψη'!$G$2:$G289&lt;$B18)*('Σύνοψη'!$H$2:$H289&gt;$B18))&gt;0, CHAR(34), """") ), """")"),"")</f>
        <v/>
      </c>
      <c r="D18" s="76" t="str">
        <f ca="1">IFERROR(__xludf.DUMMYFUNCTION("IFERROR(IF(SUMPRODUCT(('Σύνοψη'!$F$2:$F289=$A18)*('Σύνοψη'!$C$2:$C289=D$3)*('Σύνοψη'!$G$2:$G289=$B18))&gt;0,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'Σύνοψη'!$C$2:$C289=D$3)), IF(SUMPRODUCT(('Σύνοψη'!$F$2:$F289=$A18)*('Σύνοψη'!$C$2:$C289=D$3)*('Σύνοψη'!$G$2:$G289&lt;$B18)*('Σύνοψη'!$H$2:$H289&gt;$B18))&gt;0, CHAR(34), """") ), """")"),"")</f>
        <v/>
      </c>
      <c r="E18" s="76" t="str">
        <f ca="1">IFERROR(__xludf.DUMMYFUNCTION("IFERROR(IF(SUMPRODUCT(('Σύνοψη'!$F$2:$F289=$A18)*('Σύνοψη'!$C$2:$C289=E$3)*('Σύνοψη'!$G$2:$G289=$B18))&gt;0,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'Σύνοψη'!$C$2:$C289=E$3)), IF(SUMPRODUCT(('Σύνοψη'!$F$2:$F289=$A18)*('Σύνοψη'!$C$2:$C289=E$3)*('Σύνοψη'!$G$2:$G289&lt;$B18)*('Σύνοψη'!$H$2:$H289&gt;$B18))&gt;0, CHAR(34), """") ), """")"),"")</f>
        <v/>
      </c>
      <c r="F18" s="76" t="str">
        <f ca="1">IFERROR(__xludf.DUMMYFUNCTION("IFERROR(IF(SUMPRODUCT(('Σύνοψη'!$F$2:$F289=$A18)*('Σύνοψη'!$C$2:$C289=F$3)*('Σύνοψη'!$G$2:$G289=$B18))&gt;0,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'Σύνοψη'!$C$2:$C289=F$3)), IF(SUMPRODUCT(('Σύνοψη'!$F$2:$F289=$A18)*('Σύνοψη'!$C$2:$C289=F$3)*('Σύνοψη'!$G$2:$G289&lt;$B18)*('Σύνοψη'!$H$2:$H289&gt;$B18))&gt;0, CHAR(34), """") ), """")"),"")</f>
        <v/>
      </c>
      <c r="G18" s="76" t="str">
        <f ca="1">IFERROR(__xludf.DUMMYFUNCTION("IFERROR(IF(SUMPRODUCT(('Σύνοψη'!$F$2:$F289=$A18)*('Σύνοψη'!$C$2:$C289=G$3)*('Σύνοψη'!$G$2:$G289=$B18))&gt;0,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'Σύνοψη'!$C$2:$C289=G$3)), IF(SUMPRODUCT(('Σύνοψη'!$F$2:$F289=$A18)*('Σύνοψη'!$C$2:$C289=G$3)*('Σύνοψη'!$G$2:$G289&lt;$B18)*('Σύνοψη'!$H$2:$H289&gt;$B18))&gt;0, CHAR(34), """") ), """")"),"")</f>
        <v/>
      </c>
      <c r="H18" s="76" t="str">
        <f ca="1">IFERROR(__xludf.DUMMYFUNCTION("IFERROR(IF(SUMPRODUCT(('Σύνοψη'!$F$2:$F289=$A18)*('Σύνοψη'!$C$2:$C289=H$3)*('Σύνοψη'!$G$2:$G289=$B18))&gt;0, TEXTJOIN(CHAR(10) &amp; ""-----------------------"" &amp; CHAR(10), TRUE, FILTER('Σύνοψη'!$E$2:$E289 &amp; "" - "" &amp; 'Σύνοψη'!$I$2:$I289 &amp; "" ("" &amp; 'Σύνοψη'!$J$2"&amp;":$J289 &amp; "")"", 'Σύνοψη'!$F$2:$F289=$A18, 'Σύνοψη'!$G$2:$G289=$B18, 'Σύνοψη'!$C$2:$C289=H$3)), IF(SUMPRODUCT(('Σύνοψη'!$F$2:$F289=$A18)*('Σύνοψη'!$C$2:$C289=H$3)*('Σύνοψη'!$G$2:$G289&lt;$B18)*('Σύνοψη'!$H$2:$H289&gt;$B18))&gt;0, CHAR(34), """") ), """")"),"")</f>
        <v/>
      </c>
      <c r="I18" s="77"/>
    </row>
    <row r="19" spans="1:9" s="103" customFormat="1" ht="45" x14ac:dyDescent="0.25">
      <c r="A19" s="88">
        <f t="shared" ref="A19:A31" si="1">$A$18</f>
        <v>46266</v>
      </c>
      <c r="B19" s="89">
        <v>0.375</v>
      </c>
      <c r="C19" s="67" t="str">
        <f ca="1">IFERROR(__xludf.DUMMYFUNCTION("IFERROR(IF(SUMPRODUCT(('Σύνοψη'!$F$2:$F289=$A19)*('Σύνοψη'!$C$2:$C289=C$3)*('Σύνοψη'!$G$2:$G289=$B19))&gt;0,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'Σύνοψη'!$C$2:$C289=C$3)), IF(SUMPRODUCT(('Σύνοψη'!$F$2:$F289=$A19)*('Σύνοψη'!$C$2:$C289=C$3)*('Σύνοψη'!$G$2:$G289&lt;$B19)*('Σύνοψη'!$H$2:$H289&gt;$B19))&gt;0, CHAR(34), """") ), """")"),"Γενικές Αρχές Βιοχημείας - 09:00 - 11:00 (Νέες Αίθουσες)")</f>
        <v>Γενικές Αρχές Βιοχημείας - 09:00 - 11:00 (Νέες Αίθουσες)</v>
      </c>
      <c r="D19" s="67" t="str">
        <f ca="1">IFERROR(__xludf.DUMMYFUNCTION("IFERROR(IF(SUMPRODUCT(('Σύνοψη'!$F$2:$F289=$A19)*('Σύνοψη'!$C$2:$C289=D$3)*('Σύνοψη'!$G$2:$G289=$B19))&gt;0,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'Σύνοψη'!$C$2:$C289=D$3)), IF(SUMPRODUCT(('Σύνοψη'!$F$2:$F289=$A19)*('Σύνοψη'!$C$2:$C289=D$3)*('Σύνοψη'!$G$2:$G289&lt;$B19)*('Σύνοψη'!$H$2:$H289&gt;$B19))&gt;0, CHAR(34), """") ), """")"),"Προϊόντα Μελισσοκομίας - 09:00 - 12:00 (Αμφιθέατρα)")</f>
        <v>Προϊόντα Μελισσοκομίας - 09:00 - 12:00 (Αμφιθέατρα)</v>
      </c>
      <c r="E19" s="67" t="str">
        <f ca="1">IFERROR(__xludf.DUMMYFUNCTION("IFERROR(IF(SUMPRODUCT(('Σύνοψη'!$F$2:$F289=$A19)*('Σύνοψη'!$C$2:$C289=E$3)*('Σύνοψη'!$G$2:$G289=$B19))&gt;0,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'Σύνοψη'!$C$2:$C289=E$3)), IF(SUMPRODUCT(('Σύνοψη'!$F$2:$F289=$A19)*('Σύνοψη'!$C$2:$C289=E$3)*('Σύνοψη'!$G$2:$G289&lt;$B19)*('Σύνοψη'!$H$2:$H289&gt;$B19))&gt;0, CHAR(34), """") ), """")"),"")</f>
        <v/>
      </c>
      <c r="F19" s="67" t="str">
        <f ca="1">IFERROR(__xludf.DUMMYFUNCTION("IFERROR(IF(SUMPRODUCT(('Σύνοψη'!$F$2:$F289=$A19)*('Σύνοψη'!$C$2:$C289=F$3)*('Σύνοψη'!$G$2:$G289=$B19))&gt;0,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'Σύνοψη'!$C$2:$C289=F$3)), IF(SUMPRODUCT(('Σύνοψη'!$F$2:$F289=$A19)*('Σύνοψη'!$C$2:$C289=F$3)*('Σύνοψη'!$G$2:$G289&lt;$B19)*('Σύνοψη'!$H$2:$H289&gt;$B19))&gt;0, CHAR(34), """") ), """")"),"")</f>
        <v/>
      </c>
      <c r="G19" s="67" t="str">
        <f ca="1">IFERROR(__xludf.DUMMYFUNCTION("IFERROR(IF(SUMPRODUCT(('Σύνοψη'!$F$2:$F289=$A19)*('Σύνοψη'!$C$2:$C289=G$3)*('Σύνοψη'!$G$2:$G289=$B19))&gt;0,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'Σύνοψη'!$C$2:$C289=G$3)), IF(SUMPRODUCT(('Σύνοψη'!$F$2:$F289=$A19)*('Σύνοψη'!$C$2:$C289=G$3)*('Σύνοψη'!$G$2:$G289&lt;$B19)*('Σύνοψη'!$H$2:$H289&gt;$B19))&gt;0, CHAR(34), """") ), """")"),"")</f>
        <v/>
      </c>
      <c r="H19" s="67" t="str">
        <f ca="1">IFERROR(__xludf.DUMMYFUNCTION("IFERROR(IF(SUMPRODUCT(('Σύνοψη'!$F$2:$F289=$A19)*('Σύνοψη'!$C$2:$C289=H$3)*('Σύνοψη'!$G$2:$G289=$B19))&gt;0, TEXTJOIN(CHAR(10) &amp; ""-----------------------"" &amp; CHAR(10), TRUE, FILTER('Σύνοψη'!$E$2:$E289 &amp; "" - "" &amp; 'Σύνοψη'!$I$2:$I289 &amp; "" ("" &amp; 'Σύνοψη'!$J$2"&amp;":$J289 &amp; "")"", 'Σύνοψη'!$F$2:$F289=$A19, 'Σύνοψη'!$G$2:$G289=$B19, 'Σύνοψη'!$C$2:$C289=H$3)), IF(SUMPRODUCT(('Σύνοψη'!$F$2:$F289=$A19)*('Σύνοψη'!$C$2:$C289=H$3)*('Σύνοψη'!$G$2:$G289&lt;$B19)*('Σύνοψη'!$H$2:$H289&gt;$B19))&gt;0, CHAR(34), """") ), """")"),"Αρχές Χημείας για Κτηνιατρική Επιστήμη (ΠΠΣ) - 09:00 - 11:00 (Νέες Αίθουσες)")</f>
        <v>Αρχές Χημείας για Κτηνιατρική Επιστήμη (ΠΠΣ) - 09:00 - 11:00 (Νέες Αίθουσες)</v>
      </c>
      <c r="I19" s="3"/>
    </row>
    <row r="20" spans="1:9" s="103" customFormat="1" x14ac:dyDescent="0.25">
      <c r="A20" s="88">
        <f t="shared" si="1"/>
        <v>46266</v>
      </c>
      <c r="B20" s="89">
        <v>0.41666666666666669</v>
      </c>
      <c r="C20" s="67" t="str">
        <f ca="1">IFERROR(__xludf.DUMMYFUNCTION("IFERROR(IF(SUMPRODUCT(('Σύνοψη'!$F$2:$F289=$A20)*('Σύνοψη'!$C$2:$C289=C$3)*('Σύνοψη'!$G$2:$G289=$B20))&gt;0,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'Σύνοψη'!$C$2:$C289=C$3)), IF(SUMPRODUCT(('Σύνοψη'!$F$2:$F289=$A20)*('Σύνοψη'!$C$2:$C289=C$3)*('Σύνοψη'!$G$2:$G289&lt;$B20)*('Σύνοψη'!$H$2:$H289&gt;$B20))&gt;0, CHAR(34), """") ), """")"),"""")</f>
        <v>"</v>
      </c>
      <c r="D20" s="67" t="str">
        <f ca="1">IFERROR(__xludf.DUMMYFUNCTION("IFERROR(IF(SUMPRODUCT(('Σύνοψη'!$F$2:$F289=$A20)*('Σύνοψη'!$C$2:$C289=D$3)*('Σύνοψη'!$G$2:$G289=$B20))&gt;0,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'Σύνοψη'!$C$2:$C289=D$3)), IF(SUMPRODUCT(('Σύνοψη'!$F$2:$F289=$A20)*('Σύνοψη'!$C$2:$C289=D$3)*('Σύνοψη'!$G$2:$G289&lt;$B20)*('Σύνοψη'!$H$2:$H289&gt;$B20))&gt;0, CHAR(34), """") ), """")"),"""")</f>
        <v>"</v>
      </c>
      <c r="E20" s="67" t="str">
        <f ca="1">IFERROR(__xludf.DUMMYFUNCTION("IFERROR(IF(SUMPRODUCT(('Σύνοψη'!$F$2:$F289=$A20)*('Σύνοψη'!$C$2:$C289=E$3)*('Σύνοψη'!$G$2:$G289=$B20))&gt;0,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'Σύνοψη'!$C$2:$C289=E$3)), IF(SUMPRODUCT(('Σύνοψη'!$F$2:$F289=$A20)*('Σύνοψη'!$C$2:$C289=E$3)*('Σύνοψη'!$G$2:$G289&lt;$B20)*('Σύνοψη'!$H$2:$H289&gt;$B20))&gt;0, CHAR(34), """") ), """")"),"")</f>
        <v/>
      </c>
      <c r="F20" s="67" t="str">
        <f ca="1">IFERROR(__xludf.DUMMYFUNCTION("IFERROR(IF(SUMPRODUCT(('Σύνοψη'!$F$2:$F289=$A20)*('Σύνοψη'!$C$2:$C289=F$3)*('Σύνοψη'!$G$2:$G289=$B20))&gt;0,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'Σύνοψη'!$C$2:$C289=F$3)), IF(SUMPRODUCT(('Σύνοψη'!$F$2:$F289=$A20)*('Σύνοψη'!$C$2:$C289=F$3)*('Σύνοψη'!$G$2:$G289&lt;$B20)*('Σύνοψη'!$H$2:$H289&gt;$B20))&gt;0, CHAR(34), """") ), """")"),"")</f>
        <v/>
      </c>
      <c r="G20" s="67" t="str">
        <f ca="1">IFERROR(__xludf.DUMMYFUNCTION("IFERROR(IF(SUMPRODUCT(('Σύνοψη'!$F$2:$F289=$A20)*('Σύνοψη'!$C$2:$C289=G$3)*('Σύνοψη'!$G$2:$G289=$B20))&gt;0,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'Σύνοψη'!$C$2:$C289=G$3)), IF(SUMPRODUCT(('Σύνοψη'!$F$2:$F289=$A20)*('Σύνοψη'!$C$2:$C289=G$3)*('Σύνοψη'!$G$2:$G289&lt;$B20)*('Σύνοψη'!$H$2:$H289&gt;$B20))&gt;0, CHAR(34), """") ), """")"),"")</f>
        <v/>
      </c>
      <c r="H20" s="67" t="str">
        <f ca="1">IFERROR(__xludf.DUMMYFUNCTION("IFERROR(IF(SUMPRODUCT(('Σύνοψη'!$F$2:$F289=$A20)*('Σύνοψη'!$C$2:$C289=H$3)*('Σύνοψη'!$G$2:$G289=$B20))&gt;0, TEXTJOIN(CHAR(10) &amp; ""-----------------------"" &amp; CHAR(10), TRUE, FILTER('Σύνοψη'!$E$2:$E289 &amp; "" - "" &amp; 'Σύνοψη'!$I$2:$I289 &amp; "" ("" &amp; 'Σύνοψη'!$J$2"&amp;":$J289 &amp; "")"", 'Σύνοψη'!$F$2:$F289=$A20, 'Σύνοψη'!$G$2:$G289=$B20, 'Σύνοψη'!$C$2:$C289=H$3)), IF(SUMPRODUCT(('Σύνοψη'!$F$2:$F289=$A20)*('Σύνοψη'!$C$2:$C289=H$3)*('Σύνοψη'!$G$2:$G289&lt;$B20)*('Σύνοψη'!$H$2:$H289&gt;$B20))&gt;0, CHAR(34), """") ), """")"),"""")</f>
        <v>"</v>
      </c>
      <c r="I20" s="3"/>
    </row>
    <row r="21" spans="1:9" s="103" customFormat="1" ht="75" x14ac:dyDescent="0.25">
      <c r="A21" s="88">
        <f t="shared" si="1"/>
        <v>46266</v>
      </c>
      <c r="B21" s="89">
        <v>0.45833333333333331</v>
      </c>
      <c r="C21" s="67" t="str">
        <f ca="1">IFERROR(__xludf.DUMMYFUNCTION("IFERROR(IF(SUMPRODUCT(('Σύνοψη'!$F$2:$F289=$A21)*('Σύνοψη'!$C$2:$C289=C$3)*('Σύνοψη'!$G$2:$G289=$B21))&gt;0,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'Σύνοψη'!$C$2:$C289=C$3)), IF(SUMPRODUCT(('Σύνοψη'!$F$2:$F289=$A21)*('Σύνοψη'!$C$2:$C289=C$3)*('Σύνοψη'!$G$2:$G289&lt;$B21)*('Σύνοψη'!$H$2:$H289&gt;$B21))&gt;0, CHAR(34), """") ), """")"),"")</f>
        <v/>
      </c>
      <c r="D21" s="67" t="str">
        <f ca="1">IFERROR(__xludf.DUMMYFUNCTION("IFERROR(IF(SUMPRODUCT(('Σύνοψη'!$F$2:$F289=$A21)*('Σύνοψη'!$C$2:$C289=D$3)*('Σύνοψη'!$G$2:$G289=$B21))&gt;0,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'Σύνοψη'!$C$2:$C289=D$3)), IF(SUMPRODUCT(('Σύνοψη'!$F$2:$F289=$A21)*('Σύνοψη'!$C$2:$C289=D$3)*('Σύνοψη'!$G$2:$G289&lt;$B21)*('Σύνοψη'!$H$2:$H289&gt;$B21))&gt;0, CHAR(34), """") ), """")"),"""")</f>
        <v>"</v>
      </c>
      <c r="E21" s="67" t="str">
        <f ca="1">IFERROR(__xludf.DUMMYFUNCTION("IFERROR(IF(SUMPRODUCT(('Σύνοψη'!$F$2:$F289=$A21)*('Σύνοψη'!$C$2:$C289=E$3)*('Σύνοψη'!$G$2:$G289=$B21))&gt;0,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'Σύνοψη'!$C$2:$C289=E$3)), IF(SUMPRODUCT(('Σύνοψη'!$F$2:$F289=$A21)*('Σύνοψη'!$C$2:$C289=E$3)*('Σύνοψη'!$G$2:$G289&lt;$B21)*('Σύνοψη'!$H$2:$H289&gt;$B21))&gt;0, CHAR(34), """") ), """")"),"")</f>
        <v/>
      </c>
      <c r="F21" s="67" t="str">
        <f ca="1">IFERROR(__xludf.DUMMYFUNCTION("IFERROR(IF(SUMPRODUCT(('Σύνοψη'!$F$2:$F289=$A21)*('Σύνοψη'!$C$2:$C289=F$3)*('Σύνοψη'!$G$2:$G289=$B21))&gt;0,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'Σύνοψη'!$C$2:$C289=F$3)), IF(SUMPRODUCT(('Σύνοψη'!$F$2:$F289=$A21)*('Σύνοψη'!$C$2:$C289=F$3)*('Σύνοψη'!$G$2:$G289&lt;$B21)*('Σύνοψη'!$H$2:$H289&gt;$B21))&gt;0, CHAR(34), """") ), """")"),"")</f>
        <v/>
      </c>
      <c r="G21" s="67" t="str">
        <f ca="1">IFERROR(__xludf.DUMMYFUNCTION("IFERROR(IF(SUMPRODUCT(('Σύνοψη'!$F$2:$F289=$A21)*('Σύνοψη'!$C$2:$C289=G$3)*('Σύνοψη'!$G$2:$G289=$B21))&gt;0,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'Σύνοψη'!$C$2:$C289=G$3)), IF(SUMPRODUCT(('Σύνοψη'!$F$2:$F289=$A21)*('Σύνοψη'!$C$2:$C289=G$3)*('Σύνοψη'!$G$2:$G289&lt;$B21)*('Σύνοψη'!$H$2:$H289&gt;$B21))&gt;0, CHAR(34), """") ), """")"),"Πρακτική Άσκηση στη Διαγνωστική Παθολογική Ανατομική &amp; Κτηνιατροδικαστική Ι (Γραπτά) - 11:00 - 14:00 (Αίθουσα Έναντι Χειρουργικής)")</f>
        <v>Πρακτική Άσκηση στη Διαγνωστική Παθολογική Ανατομική &amp; Κτηνιατροδικαστική Ι (Γραπτά) - 11:00 - 14:00 (Αίθουσα Έναντι Χειρουργικής)</v>
      </c>
      <c r="H21" s="67" t="str">
        <f ca="1">IFERROR(__xludf.DUMMYFUNCTION("IFERROR(IF(SUMPRODUCT(('Σύνοψη'!$F$2:$F289=$A21)*('Σύνοψη'!$C$2:$C289=H$3)*('Σύνοψη'!$G$2:$G289=$B21))&gt;0, TEXTJOIN(CHAR(10) &amp; ""-----------------------"" &amp; CHAR(10), TRUE, FILTER('Σύνοψη'!$E$2:$E289 &amp; "" - "" &amp; 'Σύνοψη'!$I$2:$I289 &amp; "" ("" &amp; 'Σύνοψη'!$J$2"&amp;":$J289 &amp; "")"", 'Σύνοψη'!$F$2:$F289=$A21, 'Σύνοψη'!$G$2:$G289=$B21, 'Σύνοψη'!$C$2:$C289=H$3)), IF(SUMPRODUCT(('Σύνοψη'!$F$2:$F289=$A21)*('Σύνοψη'!$C$2:$C289=H$3)*('Σύνοψη'!$G$2:$G289&lt;$B21)*('Σύνοψη'!$H$2:$H289&gt;$B21))&gt;0, CHAR(34), """") ), """")"),"")</f>
        <v/>
      </c>
      <c r="I21" s="3"/>
    </row>
    <row r="22" spans="1:9" s="103" customFormat="1" ht="30" x14ac:dyDescent="0.25">
      <c r="A22" s="88">
        <f t="shared" si="1"/>
        <v>46266</v>
      </c>
      <c r="B22" s="89">
        <v>0.5</v>
      </c>
      <c r="C22" s="67" t="str">
        <f ca="1">IFERROR(__xludf.DUMMYFUNCTION("IFERROR(IF(SUMPRODUCT(('Σύνοψη'!$F$2:$F289=$A22)*('Σύνοψη'!$C$2:$C289=C$3)*('Σύνοψη'!$G$2:$G289=$B22))&gt;0,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'Σύνοψη'!$C$2:$C289=C$3)), IF(SUMPRODUCT(('Σύνοψη'!$F$2:$F289=$A22)*('Σύνοψη'!$C$2:$C289=C$3)*('Σύνοψη'!$G$2:$G289&lt;$B22)*('Σύνοψη'!$H$2:$H289&gt;$B22))&gt;0, CHAR(34), """") ), """")"),"")</f>
        <v/>
      </c>
      <c r="D22" s="67" t="str">
        <f ca="1">IFERROR(__xludf.DUMMYFUNCTION("IFERROR(IF(SUMPRODUCT(('Σύνοψη'!$F$2:$F289=$A22)*('Σύνοψη'!$C$2:$C289=D$3)*('Σύνοψη'!$G$2:$G289=$B22))&gt;0,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'Σύνοψη'!$C$2:$C289=D$3)), IF(SUMPRODUCT(('Σύνοψη'!$F$2:$F289=$A22)*('Σύνοψη'!$C$2:$C289=D$3)*('Σύνοψη'!$G$2:$G289&lt;$B22)*('Σύνοψη'!$H$2:$H289&gt;$B22))&gt;0, CHAR(34), """") ), """")"),"")</f>
        <v/>
      </c>
      <c r="E22" s="67" t="str">
        <f ca="1">IFERROR(__xludf.DUMMYFUNCTION("IFERROR(IF(SUMPRODUCT(('Σύνοψη'!$F$2:$F289=$A22)*('Σύνοψη'!$C$2:$C289=E$3)*('Σύνοψη'!$G$2:$G289=$B22))&gt;0,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'Σύνοψη'!$C$2:$C289=E$3)), IF(SUMPRODUCT(('Σύνοψη'!$F$2:$F289=$A22)*('Σύνοψη'!$C$2:$C289=E$3)*('Σύνοψη'!$G$2:$G289&lt;$B22)*('Σύνοψη'!$H$2:$H289&gt;$B22))&gt;0, CHAR(34), """") ), """")"),"")</f>
        <v/>
      </c>
      <c r="F22" s="67" t="str">
        <f ca="1">IFERROR(__xludf.DUMMYFUNCTION("IFERROR(IF(SUMPRODUCT(('Σύνοψη'!$F$2:$F289=$A22)*('Σύνοψη'!$C$2:$C289=F$3)*('Σύνοψη'!$G$2:$G289=$B22))&gt;0,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'Σύνοψη'!$C$2:$C289=F$3)), IF(SUMPRODUCT(('Σύνοψη'!$F$2:$F289=$A22)*('Σύνοψη'!$C$2:$C289=F$3)*('Σύνοψη'!$G$2:$G289&lt;$B22)*('Σύνοψη'!$H$2:$H289&gt;$B22))&gt;0, CHAR(34), """") ), """")"),"Χειρουργική Μαλακών Ιστών - 12:00 - 15:00 (Αμφιθέατρα)")</f>
        <v>Χειρουργική Μαλακών Ιστών - 12:00 - 15:00 (Αμφιθέατρα)</v>
      </c>
      <c r="G22" s="67" t="str">
        <f ca="1">IFERROR(__xludf.DUMMYFUNCTION("IFERROR(IF(SUMPRODUCT(('Σύνοψη'!$F$2:$F289=$A22)*('Σύνοψη'!$C$2:$C289=G$3)*('Σύνοψη'!$G$2:$G289=$B22))&gt;0,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'Σύνοψη'!$C$2:$C289=G$3)), IF(SUMPRODUCT(('Σύνοψη'!$F$2:$F289=$A22)*('Σύνοψη'!$C$2:$C289=G$3)*('Σύνοψη'!$G$2:$G289&lt;$B22)*('Σύνοψη'!$H$2:$H289&gt;$B22))&gt;0, CHAR(34), """") ), """")"),"""")</f>
        <v>"</v>
      </c>
      <c r="H22" s="67" t="str">
        <f ca="1">IFERROR(__xludf.DUMMYFUNCTION("IFERROR(IF(SUMPRODUCT(('Σύνοψη'!$F$2:$F289=$A22)*('Σύνοψη'!$C$2:$C289=H$3)*('Σύνοψη'!$G$2:$G289=$B22))&gt;0, TEXTJOIN(CHAR(10) &amp; ""-----------------------"" &amp; CHAR(10), TRUE, FILTER('Σύνοψη'!$E$2:$E289 &amp; "" - "" &amp; 'Σύνοψη'!$I$2:$I289 &amp; "" ("" &amp; 'Σύνοψη'!$J$2"&amp;":$J289 &amp; "")"", 'Σύνοψη'!$F$2:$F289=$A22, 'Σύνοψη'!$G$2:$G289=$B22, 'Σύνοψη'!$C$2:$C289=H$3)), IF(SUMPRODUCT(('Σύνοψη'!$F$2:$F289=$A22)*('Σύνοψη'!$C$2:$C289=H$3)*('Σύνοψη'!$G$2:$G289&lt;$B22)*('Σύνοψη'!$H$2:$H289&gt;$B22))&gt;0, CHAR(34), """") ), """")"),"Χειρουργική ΙΙΙ (γραπτά) - 12:00 - 15:00 (Αμφιθέατρα)")</f>
        <v>Χειρουργική ΙΙΙ (γραπτά) - 12:00 - 15:00 (Αμφιθέατρα)</v>
      </c>
      <c r="I22" s="3"/>
    </row>
    <row r="23" spans="1:9" s="103" customFormat="1" x14ac:dyDescent="0.25">
      <c r="A23" s="88">
        <f t="shared" si="1"/>
        <v>46266</v>
      </c>
      <c r="B23" s="89">
        <v>0.54166666666666663</v>
      </c>
      <c r="C23" s="67" t="str">
        <f ca="1">IFERROR(__xludf.DUMMYFUNCTION("IFERROR(IF(SUMPRODUCT(('Σύνοψη'!$F$2:$F289=$A23)*('Σύνοψη'!$C$2:$C289=C$3)*('Σύνοψη'!$G$2:$G289=$B23))&gt;0,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'Σύνοψη'!$C$2:$C289=C$3)), IF(SUMPRODUCT(('Σύνοψη'!$F$2:$F289=$A23)*('Σύνοψη'!$C$2:$C289=C$3)*('Σύνοψη'!$G$2:$G289&lt;$B23)*('Σύνοψη'!$H$2:$H289&gt;$B23))&gt;0, CHAR(34), """") ), """")"),"")</f>
        <v/>
      </c>
      <c r="D23" s="67" t="str">
        <f ca="1">IFERROR(__xludf.DUMMYFUNCTION("IFERROR(IF(SUMPRODUCT(('Σύνοψη'!$F$2:$F289=$A23)*('Σύνοψη'!$C$2:$C289=D$3)*('Σύνοψη'!$G$2:$G289=$B23))&gt;0,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'Σύνοψη'!$C$2:$C289=D$3)), IF(SUMPRODUCT(('Σύνοψη'!$F$2:$F289=$A23)*('Σύνοψη'!$C$2:$C289=D$3)*('Σύνοψη'!$G$2:$G289&lt;$B23)*('Σύνοψη'!$H$2:$H289&gt;$B23))&gt;0, CHAR(34), """") ), """")"),"")</f>
        <v/>
      </c>
      <c r="E23" s="67" t="str">
        <f ca="1">IFERROR(__xludf.DUMMYFUNCTION("IFERROR(IF(SUMPRODUCT(('Σύνοψη'!$F$2:$F289=$A23)*('Σύνοψη'!$C$2:$C289=E$3)*('Σύνοψη'!$G$2:$G289=$B23))&gt;0,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'Σύνοψη'!$C$2:$C289=E$3)), IF(SUMPRODUCT(('Σύνοψη'!$F$2:$F289=$A23)*('Σύνοψη'!$C$2:$C289=E$3)*('Σύνοψη'!$G$2:$G289&lt;$B23)*('Σύνοψη'!$H$2:$H289&gt;$B23))&gt;0, CHAR(34), """") ), """")"),"")</f>
        <v/>
      </c>
      <c r="F23" s="67" t="str">
        <f ca="1">IFERROR(__xludf.DUMMYFUNCTION("IFERROR(IF(SUMPRODUCT(('Σύνοψη'!$F$2:$F289=$A23)*('Σύνοψη'!$C$2:$C289=F$3)*('Σύνοψη'!$G$2:$G289=$B23))&gt;0,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'Σύνοψη'!$C$2:$C289=F$3)), IF(SUMPRODUCT(('Σύνοψη'!$F$2:$F289=$A23)*('Σύνοψη'!$C$2:$C289=F$3)*('Σύνοψη'!$G$2:$G289&lt;$B23)*('Σύνοψη'!$H$2:$H289&gt;$B23))&gt;0, CHAR(34), """") ), """")"),"""")</f>
        <v>"</v>
      </c>
      <c r="G23" s="67" t="str">
        <f ca="1">IFERROR(__xludf.DUMMYFUNCTION("IFERROR(IF(SUMPRODUCT(('Σύνοψη'!$F$2:$F289=$A23)*('Σύνοψη'!$C$2:$C289=G$3)*('Σύνοψη'!$G$2:$G289=$B23))&gt;0,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'Σύνοψη'!$C$2:$C289=G$3)), IF(SUMPRODUCT(('Σύνοψη'!$F$2:$F289=$A23)*('Σύνοψη'!$C$2:$C289=G$3)*('Σύνοψη'!$G$2:$G289&lt;$B23)*('Σύνοψη'!$H$2:$H289&gt;$B23))&gt;0, CHAR(34), """") ), """")"),"""")</f>
        <v>"</v>
      </c>
      <c r="H23" s="67" t="str">
        <f ca="1">IFERROR(__xludf.DUMMYFUNCTION("IFERROR(IF(SUMPRODUCT(('Σύνοψη'!$F$2:$F289=$A23)*('Σύνοψη'!$C$2:$C289=H$3)*('Σύνοψη'!$G$2:$G289=$B23))&gt;0, TEXTJOIN(CHAR(10) &amp; ""-----------------------"" &amp; CHAR(10), TRUE, FILTER('Σύνοψη'!$E$2:$E289 &amp; "" - "" &amp; 'Σύνοψη'!$I$2:$I289 &amp; "" ("" &amp; 'Σύνοψη'!$J$2"&amp;":$J289 &amp; "")"", 'Σύνοψη'!$F$2:$F289=$A23, 'Σύνοψη'!$G$2:$G289=$B23, 'Σύνοψη'!$C$2:$C289=H$3)), IF(SUMPRODUCT(('Σύνοψη'!$F$2:$F289=$A23)*('Σύνοψη'!$C$2:$C289=H$3)*('Σύνοψη'!$G$2:$G289&lt;$B23)*('Σύνοψη'!$H$2:$H289&gt;$B23))&gt;0, CHAR(34), """") ), """")"),"""")</f>
        <v>"</v>
      </c>
      <c r="I23" s="3"/>
    </row>
    <row r="24" spans="1:9" s="103" customFormat="1" ht="75" x14ac:dyDescent="0.25">
      <c r="A24" s="88">
        <f t="shared" si="1"/>
        <v>46266</v>
      </c>
      <c r="B24" s="89">
        <v>0.58333333333333337</v>
      </c>
      <c r="C24" s="67" t="str">
        <f ca="1">IFERROR(__xludf.DUMMYFUNCTION("IFERROR(IF(SUMPRODUCT(('Σύνοψη'!$F$2:$F289=$A24)*('Σύνοψη'!$C$2:$C289=C$3)*('Σύνοψη'!$G$2:$G289=$B24))&gt;0,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'Σύνοψη'!$C$2:$C289=C$3)), IF(SUMPRODUCT(('Σύνοψη'!$F$2:$F289=$A24)*('Σύνοψη'!$C$2:$C289=C$3)*('Σύνοψη'!$G$2:$G289&lt;$B24)*('Σύνοψη'!$H$2:$H289&gt;$B24))&gt;0, CHAR(34), """") ), """")"),"")</f>
        <v/>
      </c>
      <c r="D24" s="67" t="str">
        <f ca="1">IFERROR(__xludf.DUMMYFUNCTION("IFERROR(IF(SUMPRODUCT(('Σύνοψη'!$F$2:$F289=$A24)*('Σύνοψη'!$C$2:$C289=D$3)*('Σύνοψη'!$G$2:$G289=$B24))&gt;0,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'Σύνοψη'!$C$2:$C289=D$3)), IF(SUMPRODUCT(('Σύνοψη'!$F$2:$F289=$A24)*('Σύνοψη'!$C$2:$C289=D$3)*('Σύνοψη'!$G$2:$G289&lt;$B24)*('Σύνοψη'!$H$2:$H289&gt;$B24))&gt;0, CHAR(34), """") ), """")"),"")</f>
        <v/>
      </c>
      <c r="E24" s="67" t="str">
        <f ca="1">IFERROR(__xludf.DUMMYFUNCTION("IFERROR(IF(SUMPRODUCT(('Σύνοψη'!$F$2:$F289=$A24)*('Σύνοψη'!$C$2:$C289=E$3)*('Σύνοψη'!$G$2:$G289=$B24))&gt;0,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'Σύνοψη'!$C$2:$C289=E$3)), IF(SUMPRODUCT(('Σύνοψη'!$F$2:$F289=$A24)*('Σύνοψη'!$C$2:$C289=E$3)*('Σύνοψη'!$G$2:$G289&lt;$B24)*('Σύνοψη'!$H$2:$H289&gt;$B24))&gt;0, CHAR(34), """") ), """")"),"")</f>
        <v/>
      </c>
      <c r="F24" s="67" t="str">
        <f ca="1">IFERROR(__xludf.DUMMYFUNCTION("IFERROR(IF(SUMPRODUCT(('Σύνοψη'!$F$2:$F289=$A24)*('Σύνοψη'!$C$2:$C289=F$3)*('Σύνοψη'!$G$2:$G289=$B24))&gt;0,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'Σύνοψη'!$C$2:$C289=F$3)), IF(SUMPRODUCT(('Σύνοψη'!$F$2:$F289=$A24)*('Σύνοψη'!$C$2:$C289=F$3)*('Σύνοψη'!$G$2:$G289&lt;$B24)*('Σύνοψη'!$H$2:$H289&gt;$B24))&gt;0, CHAR(34), """") ), """")"),"""")</f>
        <v>"</v>
      </c>
      <c r="G24" s="67" t="str">
        <f ca="1">IFERROR(__xludf.DUMMYFUNCTION("IFERROR(IF(SUMPRODUCT(('Σύνοψη'!$F$2:$F289=$A24)*('Σύνοψη'!$C$2:$C289=G$3)*('Σύνοψη'!$G$2:$G289=$B24))&gt;0,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'Σύνοψη'!$C$2:$C289=G$3)), IF(SUMPRODUCT(('Σύνοψη'!$F$2:$F289=$A24)*('Σύνοψη'!$C$2:$C289=G$3)*('Σύνοψη'!$G$2:$G289&lt;$B24)*('Σύνοψη'!$H$2:$H289&gt;$B24))&gt;0, CHAR(34), """") ), """")"),"Πρακτική Άσκηση στη Διαγνωστική Παθολογική Ανατομική &amp; Κτηνιατροδικαστική Ι (Πρακτικά) - 14:00 - 19:00 (Αίθουσα Μικροσκοπίας)")</f>
        <v>Πρακτική Άσκηση στη Διαγνωστική Παθολογική Ανατομική &amp; Κτηνιατροδικαστική Ι (Πρακτικά) - 14:00 - 19:00 (Αίθουσα Μικροσκοπίας)</v>
      </c>
      <c r="H24" s="67" t="str">
        <f ca="1">IFERROR(__xludf.DUMMYFUNCTION("IFERROR(IF(SUMPRODUCT(('Σύνοψη'!$F$2:$F289=$A24)*('Σύνοψη'!$C$2:$C289=H$3)*('Σύνοψη'!$G$2:$G289=$B24))&gt;0, TEXTJOIN(CHAR(10) &amp; ""-----------------------"" &amp; CHAR(10), TRUE, FILTER('Σύνοψη'!$E$2:$E289 &amp; "" - "" &amp; 'Σύνοψη'!$I$2:$I289 &amp; "" ("" &amp; 'Σύνοψη'!$J$2"&amp;":$J289 &amp; "")"", 'Σύνοψη'!$F$2:$F289=$A24, 'Σύνοψη'!$G$2:$G289=$B24, 'Σύνοψη'!$C$2:$C289=H$3)), IF(SUMPRODUCT(('Σύνοψη'!$F$2:$F289=$A24)*('Σύνοψη'!$C$2:$C289=H$3)*('Σύνοψη'!$G$2:$G289&lt;$B24)*('Σύνοψη'!$H$2:$H289&gt;$B24))&gt;0, CHAR(34), """") ), """")"),"""")</f>
        <v>"</v>
      </c>
      <c r="I24" s="3"/>
    </row>
    <row r="25" spans="1:9" s="103" customFormat="1" ht="225" x14ac:dyDescent="0.25">
      <c r="A25" s="88">
        <f t="shared" si="1"/>
        <v>46266</v>
      </c>
      <c r="B25" s="89">
        <v>0.625</v>
      </c>
      <c r="C25" s="67" t="str">
        <f ca="1">IFERROR(__xludf.DUMMYFUNCTION("IFERROR(IF(SUMPRODUCT(('Σύνοψη'!$F$2:$F289=$A25)*('Σύνοψη'!$C$2:$C289=C$3)*('Σύνοψη'!$G$2:$G289=$B25))&gt;0,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'Σύνοψη'!$C$2:$C289=C$3)), IF(SUMPRODUCT(('Σύνοψη'!$F$2:$F289=$A25)*('Σύνοψη'!$C$2:$C289=C$3)*('Σύνοψη'!$G$2:$G289&lt;$B25)*('Σύνοψη'!$H$2:$H289&gt;$B25))&gt;0, CHAR(34), """") ), """")"),"")</f>
        <v/>
      </c>
      <c r="D25" s="67" t="str">
        <f ca="1">IFERROR(__xludf.DUMMYFUNCTION("IFERROR(IF(SUMPRODUCT(('Σύνοψη'!$F$2:$F289=$A25)*('Σύνοψη'!$C$2:$C289=D$3)*('Σύνοψη'!$G$2:$G289=$B25))&gt;0,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'Σύνοψη'!$C$2:$C289=D$3)), IF(SUMPRODUCT(('Σύνοψη'!$F$2:$F289=$A25)*('Σύνοψη'!$C$2:$C289=D$3)*('Σύνοψη'!$G$2:$G289&lt;$B25)*('Σύνοψη'!$H$2:$H289&gt;$B25))&gt;0, CHAR(34), """") ), """")"),"")</f>
        <v/>
      </c>
      <c r="E25" s="67" t="str">
        <f ca="1">IFERROR(__xludf.DUMMYFUNCTION("IFERROR(IF(SUMPRODUCT(('Σύνοψη'!$F$2:$F289=$A25)*('Σύνοψη'!$C$2:$C289=E$3)*('Σύνοψη'!$G$2:$G289=$B25))&gt;0,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'Σύνοψη'!$C$2:$C289=E$3)), IF(SUMPRODUCT(('Σύνοψη'!$F$2:$F289=$A25)*('Σύνοψη'!$C$2:$C289=E$3)*('Σύνοψη'!$G$2:$G289&lt;$B25)*('Σύνοψη'!$H$2:$H289&gt;$B25))&gt;0, CHAR(34), """") ), """")"),"Εισαγωγή στην Εντατική Θεραπεία - 15:00 - 18:00 (Αμφιθέατρα)
-----------------------
Εκτροφή/Παθολογία Σημαντικότερων Υδρόβιων Οργανισμών (Πλην Ιχθύων) - 15:00 - 18:00 (Αμφιθέατρα)
-----------------------
Κλινική Εργαστηριακή Διαγνωστική - 15:00 - 18:00 ("&amp;"Αμφιθέατρα)
-----------------------
Ζωοανθρωπονόσοι μέσω Προσέγγισης Ενιαίας Υγείας - 15:00 - 18:00 (Αμφιθέατρα)")</f>
        <v>Εισαγωγή στην Εντατική Θεραπεία - 15:00 - 18:00 (Αμφιθέατρα)
-----------------------
Εκτροφή/Παθολογία Σημαντικότερων Υδρόβιων Οργανισμών (Πλην Ιχθύων) - 15:00 - 18:00 (Αμφιθέατρα)
-----------------------
Κλινική Εργαστηριακή Διαγνωστική - 15:00 - 18:00 (Αμφιθέατρα)
-----------------------
Ζωοανθρωπονόσοι μέσω Προσέγγισης Ενιαίας Υγείας - 15:00 - 18:00 (Αμφιθέατρα)</v>
      </c>
      <c r="F25" s="67" t="str">
        <f ca="1">IFERROR(__xludf.DUMMYFUNCTION("IFERROR(IF(SUMPRODUCT(('Σύνοψη'!$F$2:$F289=$A25)*('Σύνοψη'!$C$2:$C289=F$3)*('Σύνοψη'!$G$2:$G289=$B25))&gt;0,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'Σύνοψη'!$C$2:$C289=F$3)), IF(SUMPRODUCT(('Σύνοψη'!$F$2:$F289=$A25)*('Σύνοψη'!$C$2:$C289=F$3)*('Σύνοψη'!$G$2:$G289&lt;$B25)*('Σύνοψη'!$H$2:$H289&gt;$B25))&gt;0, CHAR(34), """") ), """")"),"")</f>
        <v/>
      </c>
      <c r="G25" s="67" t="str">
        <f ca="1">IFERROR(__xludf.DUMMYFUNCTION("IFERROR(IF(SUMPRODUCT(('Σύνοψη'!$F$2:$F289=$A25)*('Σύνοψη'!$C$2:$C289=G$3)*('Σύνοψη'!$G$2:$G289=$B25))&gt;0,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'Σύνοψη'!$C$2:$C289=G$3)), IF(SUMPRODUCT(('Σύνοψη'!$F$2:$F289=$A25)*('Σύνοψη'!$C$2:$C289=G$3)*('Σύνοψη'!$G$2:$G289&lt;$B25)*('Σύνοψη'!$H$2:$H289&gt;$B25))&gt;0, CHAR(34), """") ), """")"),"""")</f>
        <v>"</v>
      </c>
      <c r="H25" s="67" t="str">
        <f ca="1">IFERROR(__xludf.DUMMYFUNCTION("IFERROR(IF(SUMPRODUCT(('Σύνοψη'!$F$2:$F289=$A25)*('Σύνοψη'!$C$2:$C289=H$3)*('Σύνοψη'!$G$2:$G289=$B25))&gt;0, TEXTJOIN(CHAR(10) &amp; ""-----------------------"" &amp; CHAR(10), TRUE, FILTER('Σύνοψη'!$E$2:$E289 &amp; "" - "" &amp; 'Σύνοψη'!$I$2:$I289 &amp; "" ("" &amp; 'Σύνοψη'!$J$2"&amp;":$J289 &amp; "")"", 'Σύνοψη'!$F$2:$F289=$A25, 'Σύνοψη'!$G$2:$G289=$B25, 'Σύνοψη'!$C$2:$C289=H$3)), IF(SUMPRODUCT(('Σύνοψη'!$F$2:$F289=$A25)*('Σύνοψη'!$C$2:$C289=H$3)*('Σύνοψη'!$G$2:$G289&lt;$B25)*('Σύνοψη'!$H$2:$H289&gt;$B25))&gt;0, CHAR(34), """") ), """")"),"")</f>
        <v/>
      </c>
      <c r="I25" s="3"/>
    </row>
    <row r="26" spans="1:9" s="103" customFormat="1" x14ac:dyDescent="0.25">
      <c r="A26" s="88">
        <f t="shared" si="1"/>
        <v>46266</v>
      </c>
      <c r="B26" s="89">
        <v>0.66666666666666663</v>
      </c>
      <c r="C26" s="67" t="str">
        <f ca="1">IFERROR(__xludf.DUMMYFUNCTION("IFERROR(IF(SUMPRODUCT(('Σύνοψη'!$F$2:$F289=$A26)*('Σύνοψη'!$C$2:$C289=C$3)*('Σύνοψη'!$G$2:$G289=$B26))&gt;0,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'Σύνοψη'!$C$2:$C289=C$3)), IF(SUMPRODUCT(('Σύνοψη'!$F$2:$F289=$A26)*('Σύνοψη'!$C$2:$C289=C$3)*('Σύνοψη'!$G$2:$G289&lt;$B26)*('Σύνοψη'!$H$2:$H289&gt;$B26))&gt;0, CHAR(34), """") ), """")"),"")</f>
        <v/>
      </c>
      <c r="D26" s="67" t="str">
        <f ca="1">IFERROR(__xludf.DUMMYFUNCTION("IFERROR(IF(SUMPRODUCT(('Σύνοψη'!$F$2:$F289=$A26)*('Σύνοψη'!$C$2:$C289=D$3)*('Σύνοψη'!$G$2:$G289=$B26))&gt;0,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'Σύνοψη'!$C$2:$C289=D$3)), IF(SUMPRODUCT(('Σύνοψη'!$F$2:$F289=$A26)*('Σύνοψη'!$C$2:$C289=D$3)*('Σύνοψη'!$G$2:$G289&lt;$B26)*('Σύνοψη'!$H$2:$H289&gt;$B26))&gt;0, CHAR(34), """") ), """")"),"")</f>
        <v/>
      </c>
      <c r="E26" s="67" t="str">
        <f ca="1">IFERROR(__xludf.DUMMYFUNCTION("IFERROR(IF(SUMPRODUCT(('Σύνοψη'!$F$2:$F289=$A26)*('Σύνοψη'!$C$2:$C289=E$3)*('Σύνοψη'!$G$2:$G289=$B26))&gt;0,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'Σύνοψη'!$C$2:$C289=E$3)), IF(SUMPRODUCT(('Σύνοψη'!$F$2:$F289=$A26)*('Σύνοψη'!$C$2:$C289=E$3)*('Σύνοψη'!$G$2:$G289&lt;$B26)*('Σύνοψη'!$H$2:$H289&gt;$B26))&gt;0, CHAR(34), """") ), """")"),"""")</f>
        <v>"</v>
      </c>
      <c r="F26" s="67" t="str">
        <f ca="1">IFERROR(__xludf.DUMMYFUNCTION("IFERROR(IF(SUMPRODUCT(('Σύνοψη'!$F$2:$F289=$A26)*('Σύνοψη'!$C$2:$C289=F$3)*('Σύνοψη'!$G$2:$G289=$B26))&gt;0,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'Σύνοψη'!$C$2:$C289=F$3)), IF(SUMPRODUCT(('Σύνοψη'!$F$2:$F289=$A26)*('Σύνοψη'!$C$2:$C289=F$3)*('Σύνοψη'!$G$2:$G289&lt;$B26)*('Σύνοψη'!$H$2:$H289&gt;$B26))&gt;0, CHAR(34), """") ), """")"),"")</f>
        <v/>
      </c>
      <c r="G26" s="67" t="str">
        <f ca="1">IFERROR(__xludf.DUMMYFUNCTION("IFERROR(IF(SUMPRODUCT(('Σύνοψη'!$F$2:$F289=$A26)*('Σύνοψη'!$C$2:$C289=G$3)*('Σύνοψη'!$G$2:$G289=$B26))&gt;0,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'Σύνοψη'!$C$2:$C289=G$3)), IF(SUMPRODUCT(('Σύνοψη'!$F$2:$F289=$A26)*('Σύνοψη'!$C$2:$C289=G$3)*('Σύνοψη'!$G$2:$G289&lt;$B26)*('Σύνοψη'!$H$2:$H289&gt;$B26))&gt;0, CHAR(34), """") ), """")"),"""")</f>
        <v>"</v>
      </c>
      <c r="H26" s="67" t="str">
        <f ca="1">IFERROR(__xludf.DUMMYFUNCTION("IFERROR(IF(SUMPRODUCT(('Σύνοψη'!$F$2:$F289=$A26)*('Σύνοψη'!$C$2:$C289=H$3)*('Σύνοψη'!$G$2:$G289=$B26))&gt;0, TEXTJOIN(CHAR(10) &amp; ""-----------------------"" &amp; CHAR(10), TRUE, FILTER('Σύνοψη'!$E$2:$E289 &amp; "" - "" &amp; 'Σύνοψη'!$I$2:$I289 &amp; "" ("" &amp; 'Σύνοψη'!$J$2"&amp;":$J289 &amp; "")"", 'Σύνοψη'!$F$2:$F289=$A26, 'Σύνοψη'!$G$2:$G289=$B26, 'Σύνοψη'!$C$2:$C289=H$3)), IF(SUMPRODUCT(('Σύνοψη'!$F$2:$F289=$A26)*('Σύνοψη'!$C$2:$C289=H$3)*('Σύνοψη'!$G$2:$G289&lt;$B26)*('Σύνοψη'!$H$2:$H289&gt;$B26))&gt;0, CHAR(34), """") ), """")"),"")</f>
        <v/>
      </c>
      <c r="I26" s="3"/>
    </row>
    <row r="27" spans="1:9" s="103" customFormat="1" ht="45" x14ac:dyDescent="0.25">
      <c r="A27" s="88">
        <f t="shared" si="1"/>
        <v>46266</v>
      </c>
      <c r="B27" s="89">
        <v>0.70833333333333337</v>
      </c>
      <c r="C27" s="67" t="str">
        <f ca="1">IFERROR(__xludf.DUMMYFUNCTION("IFERROR(IF(SUMPRODUCT(('Σύνοψη'!$F$2:$F289=$A27)*('Σύνοψη'!$C$2:$C289=C$3)*('Σύνοψη'!$G$2:$G289=$B27))&gt;0,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'Σύνοψη'!$C$2:$C289=C$3)), IF(SUMPRODUCT(('Σύνοψη'!$F$2:$F289=$A27)*('Σύνοψη'!$C$2:$C289=C$3)*('Σύνοψη'!$G$2:$G289&lt;$B27)*('Σύνοψη'!$H$2:$H289&gt;$B27))&gt;0, CHAR(34), """") ), """")"),"")</f>
        <v/>
      </c>
      <c r="D27" s="67" t="str">
        <f ca="1">IFERROR(__xludf.DUMMYFUNCTION("IFERROR(IF(SUMPRODUCT(('Σύνοψη'!$F$2:$F289=$A27)*('Σύνοψη'!$C$2:$C289=D$3)*('Σύνοψη'!$G$2:$G289=$B27))&gt;0,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'Σύνοψη'!$C$2:$C289=D$3)), IF(SUMPRODUCT(('Σύνοψη'!$F$2:$F289=$A27)*('Σύνοψη'!$C$2:$C289=D$3)*('Σύνοψη'!$G$2:$G289&lt;$B27)*('Σύνοψη'!$H$2:$H289&gt;$B27))&gt;0, CHAR(34), """") ), """")"),"")</f>
        <v/>
      </c>
      <c r="E27" s="67" t="str">
        <f ca="1">IFERROR(__xludf.DUMMYFUNCTION("IFERROR(IF(SUMPRODUCT(('Σύνοψη'!$F$2:$F289=$A27)*('Σύνοψη'!$C$2:$C289=E$3)*('Σύνοψη'!$G$2:$G289=$B27))&gt;0,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'Σύνοψη'!$C$2:$C289=E$3)), IF(SUMPRODUCT(('Σύνοψη'!$F$2:$F289=$A27)*('Σύνοψη'!$C$2:$C289=E$3)*('Σύνοψη'!$G$2:$G289&lt;$B27)*('Σύνοψη'!$H$2:$H289&gt;$B27))&gt;0, CHAR(34), """") ), """")"),"""")</f>
        <v>"</v>
      </c>
      <c r="F27" s="67" t="str">
        <f ca="1">IFERROR(__xludf.DUMMYFUNCTION("IFERROR(IF(SUMPRODUCT(('Σύνοψη'!$F$2:$F289=$A27)*('Σύνοψη'!$C$2:$C289=F$3)*('Σύνοψη'!$G$2:$G289=$B27))&gt;0,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'Σύνοψη'!$C$2:$C289=F$3)), IF(SUMPRODUCT(('Σύνοψη'!$F$2:$F289=$A27)*('Σύνοψη'!$C$2:$C289=F$3)*('Σύνοψη'!$G$2:$G289&lt;$B27)*('Σύνοψη'!$H$2:$H289&gt;$B27))&gt;0, CHAR(34), """") ), """")"),"")</f>
        <v/>
      </c>
      <c r="G27" s="67" t="str">
        <f ca="1">IFERROR(__xludf.DUMMYFUNCTION("IFERROR(IF(SUMPRODUCT(('Σύνοψη'!$F$2:$F289=$A27)*('Σύνοψη'!$C$2:$C289=G$3)*('Σύνοψη'!$G$2:$G289=$B27))&gt;0,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'Σύνοψη'!$C$2:$C289=G$3)), IF(SUMPRODUCT(('Σύνοψη'!$F$2:$F289=$A27)*('Σύνοψη'!$C$2:$C289=G$3)*('Σύνοψη'!$G$2:$G289&lt;$B27)*('Σύνοψη'!$H$2:$H289&gt;$B27))&gt;0, CHAR(34), """") ), """")"),"Διαχείριση Υγείας Ζωικών Πληθυσμών - 17:00 - 19:00 (Αίθουσα Έναντι Χειρουργικής)")</f>
        <v>Διαχείριση Υγείας Ζωικών Πληθυσμών - 17:00 - 19:00 (Αίθουσα Έναντι Χειρουργικής)</v>
      </c>
      <c r="H27" s="67" t="str">
        <f ca="1">IFERROR(__xludf.DUMMYFUNCTION("IFERROR(IF(SUMPRODUCT(('Σύνοψη'!$F$2:$F289=$A27)*('Σύνοψη'!$C$2:$C289=H$3)*('Σύνοψη'!$G$2:$G289=$B27))&gt;0, TEXTJOIN(CHAR(10) &amp; ""-----------------------"" &amp; CHAR(10), TRUE, FILTER('Σύνοψη'!$E$2:$E289 &amp; "" - "" &amp; 'Σύνοψη'!$I$2:$I289 &amp; "" ("" &amp; 'Σύνοψη'!$J$2"&amp;":$J289 &amp; "")"", 'Σύνοψη'!$F$2:$F289=$A27, 'Σύνοψη'!$G$2:$G289=$B27, 'Σύνοψη'!$C$2:$C289=H$3)), IF(SUMPRODUCT(('Σύνοψη'!$F$2:$F289=$A27)*('Σύνοψη'!$C$2:$C289=H$3)*('Σύνοψη'!$G$2:$G289&lt;$B27)*('Σύνοψη'!$H$2:$H289&gt;$B27))&gt;0, CHAR(34), """") ), """")"),"")</f>
        <v/>
      </c>
      <c r="I27" s="3"/>
    </row>
    <row r="28" spans="1:9" s="103" customFormat="1" x14ac:dyDescent="0.25">
      <c r="A28" s="88">
        <f t="shared" si="1"/>
        <v>46266</v>
      </c>
      <c r="B28" s="89">
        <v>0.75</v>
      </c>
      <c r="C28" s="67" t="str">
        <f ca="1">IFERROR(__xludf.DUMMYFUNCTION("IFERROR(IF(SUMPRODUCT(('Σύνοψη'!$F$2:$F289=$A28)*('Σύνοψη'!$C$2:$C289=C$3)*('Σύνοψη'!$G$2:$G289=$B28))&gt;0,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'Σύνοψη'!$C$2:$C289=C$3)), IF(SUMPRODUCT(('Σύνοψη'!$F$2:$F289=$A28)*('Σύνοψη'!$C$2:$C289=C$3)*('Σύνοψη'!$G$2:$G289&lt;$B28)*('Σύνοψη'!$H$2:$H289&gt;$B28))&gt;0, CHAR(34), """") ), """")"),"")</f>
        <v/>
      </c>
      <c r="D28" s="67" t="str">
        <f ca="1">IFERROR(__xludf.DUMMYFUNCTION("IFERROR(IF(SUMPRODUCT(('Σύνοψη'!$F$2:$F289=$A28)*('Σύνοψη'!$C$2:$C289=D$3)*('Σύνοψη'!$G$2:$G289=$B28))&gt;0,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'Σύνοψη'!$C$2:$C289=D$3)), IF(SUMPRODUCT(('Σύνοψη'!$F$2:$F289=$A28)*('Σύνοψη'!$C$2:$C289=D$3)*('Σύνοψη'!$G$2:$G289&lt;$B28)*('Σύνοψη'!$H$2:$H289&gt;$B28))&gt;0, CHAR(34), """") ), """")"),"")</f>
        <v/>
      </c>
      <c r="E28" s="67" t="str">
        <f ca="1">IFERROR(__xludf.DUMMYFUNCTION("IFERROR(IF(SUMPRODUCT(('Σύνοψη'!$F$2:$F289=$A28)*('Σύνοψη'!$C$2:$C289=E$3)*('Σύνοψη'!$G$2:$G289=$B28))&gt;0,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'Σύνοψη'!$C$2:$C289=E$3)), IF(SUMPRODUCT(('Σύνοψη'!$F$2:$F289=$A28)*('Σύνοψη'!$C$2:$C289=E$3)*('Σύνοψη'!$G$2:$G289&lt;$B28)*('Σύνοψη'!$H$2:$H289&gt;$B28))&gt;0, CHAR(34), """") ), """")"),"")</f>
        <v/>
      </c>
      <c r="F28" s="67" t="str">
        <f ca="1">IFERROR(__xludf.DUMMYFUNCTION("IFERROR(IF(SUMPRODUCT(('Σύνοψη'!$F$2:$F289=$A28)*('Σύνοψη'!$C$2:$C289=F$3)*('Σύνοψη'!$G$2:$G289=$B28))&gt;0,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'Σύνοψη'!$C$2:$C289=F$3)), IF(SUMPRODUCT(('Σύνοψη'!$F$2:$F289=$A28)*('Σύνοψη'!$C$2:$C289=F$3)*('Σύνοψη'!$G$2:$G289&lt;$B28)*('Σύνοψη'!$H$2:$H289&gt;$B28))&gt;0, CHAR(34), """") ), """")"),"")</f>
        <v/>
      </c>
      <c r="G28" s="67" t="str">
        <f ca="1">IFERROR(__xludf.DUMMYFUNCTION("IFERROR(IF(SUMPRODUCT(('Σύνοψη'!$F$2:$F289=$A28)*('Σύνοψη'!$C$2:$C289=G$3)*('Σύνοψη'!$G$2:$G289=$B28))&gt;0,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'Σύνοψη'!$C$2:$C289=G$3)), IF(SUMPRODUCT(('Σύνοψη'!$F$2:$F289=$A28)*('Σύνοψη'!$C$2:$C289=G$3)*('Σύνοψη'!$G$2:$G289&lt;$B28)*('Σύνοψη'!$H$2:$H289&gt;$B28))&gt;0, CHAR(34), """") ), """")"),"""")</f>
        <v>"</v>
      </c>
      <c r="H28" s="67" t="str">
        <f ca="1">IFERROR(__xludf.DUMMYFUNCTION("IFERROR(IF(SUMPRODUCT(('Σύνοψη'!$F$2:$F289=$A28)*('Σύνοψη'!$C$2:$C289=H$3)*('Σύνοψη'!$G$2:$G289=$B28))&gt;0, TEXTJOIN(CHAR(10) &amp; ""-----------------------"" &amp; CHAR(10), TRUE, FILTER('Σύνοψη'!$E$2:$E289 &amp; "" - "" &amp; 'Σύνοψη'!$I$2:$I289 &amp; "" ("" &amp; 'Σύνοψη'!$J$2"&amp;":$J289 &amp; "")"", 'Σύνοψη'!$F$2:$F289=$A28, 'Σύνοψη'!$G$2:$G289=$B28, 'Σύνοψη'!$C$2:$C289=H$3)), IF(SUMPRODUCT(('Σύνοψη'!$F$2:$F289=$A28)*('Σύνοψη'!$C$2:$C289=H$3)*('Σύνοψη'!$G$2:$G289&lt;$B28)*('Σύνοψη'!$H$2:$H289&gt;$B28))&gt;0, CHAR(34), """") ), """")"),"")</f>
        <v/>
      </c>
      <c r="I28" s="3"/>
    </row>
    <row r="29" spans="1:9" s="103" customFormat="1" ht="60" x14ac:dyDescent="0.25">
      <c r="A29" s="88">
        <f t="shared" si="1"/>
        <v>46266</v>
      </c>
      <c r="B29" s="89">
        <v>0.79166666666666663</v>
      </c>
      <c r="C29" s="67" t="str">
        <f ca="1">IFERROR(__xludf.DUMMYFUNCTION("IFERROR(IF(SUMPRODUCT(('Σύνοψη'!$F$2:$F289=$A29)*('Σύνοψη'!$C$2:$C289=C$3)*('Σύνοψη'!$G$2:$G289=$B29))&gt;0,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'Σύνοψη'!$C$2:$C289=C$3)), IF(SUMPRODUCT(('Σύνοψη'!$F$2:$F289=$A29)*('Σύνοψη'!$C$2:$C289=C$3)*('Σύνοψη'!$G$2:$G289&lt;$B29)*('Σύνοψη'!$H$2:$H289&gt;$B29))&gt;0, CHAR(34), """") ), """")"),"")</f>
        <v/>
      </c>
      <c r="D29" s="67" t="str">
        <f ca="1">IFERROR(__xludf.DUMMYFUNCTION("IFERROR(IF(SUMPRODUCT(('Σύνοψη'!$F$2:$F289=$A29)*('Σύνοψη'!$C$2:$C289=D$3)*('Σύνοψη'!$G$2:$G289=$B29))&gt;0,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'Σύνοψη'!$C$2:$C289=D$3)), IF(SUMPRODUCT(('Σύνοψη'!$F$2:$F289=$A29)*('Σύνοψη'!$C$2:$C289=D$3)*('Σύνοψη'!$G$2:$G289&lt;$B29)*('Σύνοψη'!$H$2:$H289&gt;$B29))&gt;0, CHAR(34), """") ), """")"),"")</f>
        <v/>
      </c>
      <c r="E29" s="67" t="str">
        <f ca="1">IFERROR(__xludf.DUMMYFUNCTION("IFERROR(IF(SUMPRODUCT(('Σύνοψη'!$F$2:$F289=$A29)*('Σύνοψη'!$C$2:$C289=E$3)*('Σύνοψη'!$G$2:$G289=$B29))&gt;0,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'Σύνοψη'!$C$2:$C289=E$3)), IF(SUMPRODUCT(('Σύνοψη'!$F$2:$F289=$A29)*('Σύνοψη'!$C$2:$C289=E$3)*('Σύνοψη'!$G$2:$G289&lt;$B29)*('Σύνοψη'!$H$2:$H289&gt;$B29))&gt;0, CHAR(34), """") ), """")"),"Συγκριτική Παθολογική Ανατομική &amp; Ζωικά Πρότυπα Νοσημάτων του Ανθρώπου - 19:00 - 21:00 (Αίθουσα Μικροσκοπίας)")</f>
        <v>Συγκριτική Παθολογική Ανατομική &amp; Ζωικά Πρότυπα Νοσημάτων του Ανθρώπου - 19:00 - 21:00 (Αίθουσα Μικροσκοπίας)</v>
      </c>
      <c r="F29" s="67" t="str">
        <f ca="1">IFERROR(__xludf.DUMMYFUNCTION("IFERROR(IF(SUMPRODUCT(('Σύνοψη'!$F$2:$F289=$A29)*('Σύνοψη'!$C$2:$C289=F$3)*('Σύνοψη'!$G$2:$G289=$B29))&gt;0,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'Σύνοψη'!$C$2:$C289=F$3)), IF(SUMPRODUCT(('Σύνοψη'!$F$2:$F289=$A29)*('Σύνοψη'!$C$2:$C289=F$3)*('Σύνοψη'!$G$2:$G289&lt;$B29)*('Σύνοψη'!$H$2:$H289&gt;$B29))&gt;0, CHAR(34), """") ), """")"),"")</f>
        <v/>
      </c>
      <c r="G29" s="67" t="str">
        <f ca="1">IFERROR(__xludf.DUMMYFUNCTION("IFERROR(IF(SUMPRODUCT(('Σύνοψη'!$F$2:$F289=$A29)*('Σύνοψη'!$C$2:$C289=G$3)*('Σύνοψη'!$G$2:$G289=$B29))&gt;0,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'Σύνοψη'!$C$2:$C289=G$3)), IF(SUMPRODUCT(('Σύνοψη'!$F$2:$F289=$A29)*('Σύνοψη'!$C$2:$C289=G$3)*('Σύνοψη'!$G$2:$G289&lt;$B29)*('Σύνοψη'!$H$2:$H289&gt;$B29))&gt;0, CHAR(34), """") ), """")"),"")</f>
        <v/>
      </c>
      <c r="H29" s="67" t="str">
        <f ca="1">IFERROR(__xludf.DUMMYFUNCTION("IFERROR(IF(SUMPRODUCT(('Σύνοψη'!$F$2:$F289=$A29)*('Σύνοψη'!$C$2:$C289=H$3)*('Σύνοψη'!$G$2:$G289=$B29))&gt;0, TEXTJOIN(CHAR(10) &amp; ""-----------------------"" &amp; CHAR(10), TRUE, FILTER('Σύνοψη'!$E$2:$E289 &amp; "" - "" &amp; 'Σύνοψη'!$I$2:$I289 &amp; "" ("" &amp; 'Σύνοψη'!$J$2"&amp;":$J289 &amp; "")"", 'Σύνοψη'!$F$2:$F289=$A29, 'Σύνοψη'!$G$2:$G289=$B29, 'Σύνοψη'!$C$2:$C289=H$3)), IF(SUMPRODUCT(('Σύνοψη'!$F$2:$F289=$A29)*('Σύνοψη'!$C$2:$C289=H$3)*('Σύνοψη'!$G$2:$G289&lt;$B29)*('Σύνοψη'!$H$2:$H289&gt;$B29))&gt;0, CHAR(34), """") ), """")"),"")</f>
        <v/>
      </c>
      <c r="I29" s="3"/>
    </row>
    <row r="30" spans="1:9" s="103" customFormat="1" x14ac:dyDescent="0.25">
      <c r="A30" s="88">
        <f t="shared" si="1"/>
        <v>46266</v>
      </c>
      <c r="B30" s="89">
        <v>0.83333333333333337</v>
      </c>
      <c r="C30" s="67" t="str">
        <f ca="1">IFERROR(__xludf.DUMMYFUNCTION("IFERROR(IF(SUMPRODUCT(('Σύνοψη'!$F$2:$F289=$A30)*('Σύνοψη'!$C$2:$C289=C$3)*('Σύνοψη'!$G$2:$G289=$B30))&gt;0,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'Σύνοψη'!$C$2:$C289=C$3)), IF(SUMPRODUCT(('Σύνοψη'!$F$2:$F289=$A30)*('Σύνοψη'!$C$2:$C289=C$3)*('Σύνοψη'!$G$2:$G289&lt;$B30)*('Σύνοψη'!$H$2:$H289&gt;$B30))&gt;0, CHAR(34), """") ), """")"),"")</f>
        <v/>
      </c>
      <c r="D30" s="67" t="str">
        <f ca="1">IFERROR(__xludf.DUMMYFUNCTION("IFERROR(IF(SUMPRODUCT(('Σύνοψη'!$F$2:$F289=$A30)*('Σύνοψη'!$C$2:$C289=D$3)*('Σύνοψη'!$G$2:$G289=$B30))&gt;0,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'Σύνοψη'!$C$2:$C289=D$3)), IF(SUMPRODUCT(('Σύνοψη'!$F$2:$F289=$A30)*('Σύνοψη'!$C$2:$C289=D$3)*('Σύνοψη'!$G$2:$G289&lt;$B30)*('Σύνοψη'!$H$2:$H289&gt;$B30))&gt;0, CHAR(34), """") ), """")"),"")</f>
        <v/>
      </c>
      <c r="E30" s="67" t="str">
        <f ca="1">IFERROR(__xludf.DUMMYFUNCTION("IFERROR(IF(SUMPRODUCT(('Σύνοψη'!$F$2:$F289=$A30)*('Σύνοψη'!$C$2:$C289=E$3)*('Σύνοψη'!$G$2:$G289=$B30))&gt;0,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'Σύνοψη'!$C$2:$C289=E$3)), IF(SUMPRODUCT(('Σύνοψη'!$F$2:$F289=$A30)*('Σύνοψη'!$C$2:$C289=E$3)*('Σύνοψη'!$G$2:$G289&lt;$B30)*('Σύνοψη'!$H$2:$H289&gt;$B30))&gt;0, CHAR(34), """") ), """")"),"""")</f>
        <v>"</v>
      </c>
      <c r="F30" s="67" t="str">
        <f ca="1">IFERROR(__xludf.DUMMYFUNCTION("IFERROR(IF(SUMPRODUCT(('Σύνοψη'!$F$2:$F289=$A30)*('Σύνοψη'!$C$2:$C289=F$3)*('Σύνοψη'!$G$2:$G289=$B30))&gt;0,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'Σύνοψη'!$C$2:$C289=F$3)), IF(SUMPRODUCT(('Σύνοψη'!$F$2:$F289=$A30)*('Σύνοψη'!$C$2:$C289=F$3)*('Σύνοψη'!$G$2:$G289&lt;$B30)*('Σύνοψη'!$H$2:$H289&gt;$B30))&gt;0, CHAR(34), """") ), """")"),"")</f>
        <v/>
      </c>
      <c r="G30" s="67" t="str">
        <f ca="1">IFERROR(__xludf.DUMMYFUNCTION("IFERROR(IF(SUMPRODUCT(('Σύνοψη'!$F$2:$F289=$A30)*('Σύνοψη'!$C$2:$C289=G$3)*('Σύνοψη'!$G$2:$G289=$B30))&gt;0,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'Σύνοψη'!$C$2:$C289=G$3)), IF(SUMPRODUCT(('Σύνοψη'!$F$2:$F289=$A30)*('Σύνοψη'!$C$2:$C289=G$3)*('Σύνοψη'!$G$2:$G289&lt;$B30)*('Σύνοψη'!$H$2:$H289&gt;$B30))&gt;0, CHAR(34), """") ), """")"),"")</f>
        <v/>
      </c>
      <c r="H30" s="67" t="str">
        <f ca="1">IFERROR(__xludf.DUMMYFUNCTION("IFERROR(IF(SUMPRODUCT(('Σύνοψη'!$F$2:$F289=$A30)*('Σύνοψη'!$C$2:$C289=H$3)*('Σύνοψη'!$G$2:$G289=$B30))&gt;0, TEXTJOIN(CHAR(10) &amp; ""-----------------------"" &amp; CHAR(10), TRUE, FILTER('Σύνοψη'!$E$2:$E289 &amp; "" - "" &amp; 'Σύνοψη'!$I$2:$I289 &amp; "" ("" &amp; 'Σύνοψη'!$J$2"&amp;":$J289 &amp; "")"", 'Σύνοψη'!$F$2:$F289=$A30, 'Σύνοψη'!$G$2:$G289=$B30, 'Σύνοψη'!$C$2:$C289=H$3)), IF(SUMPRODUCT(('Σύνοψη'!$F$2:$F289=$A30)*('Σύνοψη'!$C$2:$C289=H$3)*('Σύνοψη'!$G$2:$G289&lt;$B30)*('Σύνοψη'!$H$2:$H289&gt;$B30))&gt;0, CHAR(34), """") ), """")"),"")</f>
        <v/>
      </c>
      <c r="I30" s="3"/>
    </row>
    <row r="31" spans="1:9" s="104" customFormat="1" x14ac:dyDescent="0.25">
      <c r="A31" s="90">
        <f t="shared" si="1"/>
        <v>46266</v>
      </c>
      <c r="B31" s="91">
        <v>0.875</v>
      </c>
      <c r="C31" s="78" t="str">
        <f ca="1">IFERROR(__xludf.DUMMYFUNCTION("IFERROR(IF(SUMPRODUCT(('Σύνοψη'!$F$2:$F289=$A31)*('Σύνοψη'!$C$2:$C289=C$3)*('Σύνοψη'!$G$2:$G289=$B31))&gt;0,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'Σύνοψη'!$C$2:$C289=C$3)), IF(SUMPRODUCT(('Σύνοψη'!$F$2:$F289=$A31)*('Σύνοψη'!$C$2:$C289=C$3)*('Σύνοψη'!$G$2:$G289&lt;$B31)*('Σύνοψη'!$H$2:$H289&gt;$B31))&gt;0, CHAR(34), """") ), """")"),"")</f>
        <v/>
      </c>
      <c r="D31" s="78" t="str">
        <f ca="1">IFERROR(__xludf.DUMMYFUNCTION("IFERROR(IF(SUMPRODUCT(('Σύνοψη'!$F$2:$F289=$A31)*('Σύνοψη'!$C$2:$C289=D$3)*('Σύνοψη'!$G$2:$G289=$B31))&gt;0,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'Σύνοψη'!$C$2:$C289=D$3)), IF(SUMPRODUCT(('Σύνοψη'!$F$2:$F289=$A31)*('Σύνοψη'!$C$2:$C289=D$3)*('Σύνοψη'!$G$2:$G289&lt;$B31)*('Σύνοψη'!$H$2:$H289&gt;$B31))&gt;0, CHAR(34), """") ), """")"),"")</f>
        <v/>
      </c>
      <c r="E31" s="78" t="str">
        <f ca="1">IFERROR(__xludf.DUMMYFUNCTION("IFERROR(IF(SUMPRODUCT(('Σύνοψη'!$F$2:$F289=$A31)*('Σύνοψη'!$C$2:$C289=E$3)*('Σύνοψη'!$G$2:$G289=$B31))&gt;0,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'Σύνοψη'!$C$2:$C289=E$3)), IF(SUMPRODUCT(('Σύνοψη'!$F$2:$F289=$A31)*('Σύνοψη'!$C$2:$C289=E$3)*('Σύνοψη'!$G$2:$G289&lt;$B31)*('Σύνοψη'!$H$2:$H289&gt;$B31))&gt;0, CHAR(34), """") ), """")"),"")</f>
        <v/>
      </c>
      <c r="F31" s="78" t="str">
        <f ca="1">IFERROR(__xludf.DUMMYFUNCTION("IFERROR(IF(SUMPRODUCT(('Σύνοψη'!$F$2:$F289=$A31)*('Σύνοψη'!$C$2:$C289=F$3)*('Σύνοψη'!$G$2:$G289=$B31))&gt;0,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'Σύνοψη'!$C$2:$C289=F$3)), IF(SUMPRODUCT(('Σύνοψη'!$F$2:$F289=$A31)*('Σύνοψη'!$C$2:$C289=F$3)*('Σύνοψη'!$G$2:$G289&lt;$B31)*('Σύνοψη'!$H$2:$H289&gt;$B31))&gt;0, CHAR(34), """") ), """")"),"")</f>
        <v/>
      </c>
      <c r="G31" s="78" t="str">
        <f ca="1">IFERROR(__xludf.DUMMYFUNCTION("IFERROR(IF(SUMPRODUCT(('Σύνοψη'!$F$2:$F289=$A31)*('Σύνοψη'!$C$2:$C289=G$3)*('Σύνοψη'!$G$2:$G289=$B31))&gt;0,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'Σύνοψη'!$C$2:$C289=G$3)), IF(SUMPRODUCT(('Σύνοψη'!$F$2:$F289=$A31)*('Σύνοψη'!$C$2:$C289=G$3)*('Σύνοψη'!$G$2:$G289&lt;$B31)*('Σύνοψη'!$H$2:$H289&gt;$B31))&gt;0, CHAR(34), """") ), """")"),"")</f>
        <v/>
      </c>
      <c r="H31" s="78" t="str">
        <f ca="1">IFERROR(__xludf.DUMMYFUNCTION("IFERROR(IF(SUMPRODUCT(('Σύνοψη'!$F$2:$F289=$A31)*('Σύνοψη'!$C$2:$C289=H$3)*('Σύνοψη'!$G$2:$G289=$B31))&gt;0, TEXTJOIN(CHAR(10) &amp; ""-----------------------"" &amp; CHAR(10), TRUE, FILTER('Σύνοψη'!$E$2:$E289 &amp; "" - "" &amp; 'Σύνοψη'!$I$2:$I289 &amp; "" ("" &amp; 'Σύνοψη'!$J$2"&amp;":$J289 &amp; "")"", 'Σύνοψη'!$F$2:$F289=$A31, 'Σύνοψη'!$G$2:$G289=$B31, 'Σύνοψη'!$C$2:$C289=H$3)), IF(SUMPRODUCT(('Σύνοψη'!$F$2:$F289=$A31)*('Σύνοψη'!$C$2:$C289=H$3)*('Σύνοψη'!$G$2:$G289&lt;$B31)*('Σύνοψη'!$H$2:$H289&gt;$B31))&gt;0, CHAR(34), """") ), """")"),"")</f>
        <v/>
      </c>
      <c r="I31" s="79"/>
    </row>
    <row r="32" spans="1:9" s="102" customFormat="1" x14ac:dyDescent="0.25">
      <c r="A32" s="86">
        <f>$D$1+2</f>
        <v>46267</v>
      </c>
      <c r="B32" s="87">
        <v>0.33333333333333331</v>
      </c>
      <c r="C32" s="76" t="str">
        <f ca="1">IFERROR(__xludf.DUMMYFUNCTION("IFERROR(IF(SUMPRODUCT(('Σύνοψη'!$F$2:$F289=$A32)*('Σύνοψη'!$C$2:$C289=C$3)*('Σύνοψη'!$G$2:$G289=$B32))&gt;0,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'Σύνοψη'!$C$2:$C289=C$3)), IF(SUMPRODUCT(('Σύνοψη'!$F$2:$F289=$A32)*('Σύνοψη'!$C$2:$C289=C$3)*('Σύνοψη'!$G$2:$G289&lt;$B32)*('Σύνοψη'!$H$2:$H289&gt;$B32))&gt;0, CHAR(34), """") ), """")"),"")</f>
        <v/>
      </c>
      <c r="D32" s="76" t="str">
        <f ca="1">IFERROR(__xludf.DUMMYFUNCTION("IFERROR(IF(SUMPRODUCT(('Σύνοψη'!$F$2:$F289=$A32)*('Σύνοψη'!$C$2:$C289=D$3)*('Σύνοψη'!$G$2:$G289=$B32))&gt;0,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'Σύνοψη'!$C$2:$C289=D$3)), IF(SUMPRODUCT(('Σύνοψη'!$F$2:$F289=$A32)*('Σύνοψη'!$C$2:$C289=D$3)*('Σύνοψη'!$G$2:$G289&lt;$B32)*('Σύνοψη'!$H$2:$H289&gt;$B32))&gt;0, CHAR(34), """") ), """")"),"")</f>
        <v/>
      </c>
      <c r="E32" s="76" t="str">
        <f ca="1">IFERROR(__xludf.DUMMYFUNCTION("IFERROR(IF(SUMPRODUCT(('Σύνοψη'!$F$2:$F289=$A32)*('Σύνοψη'!$C$2:$C289=E$3)*('Σύνοψη'!$G$2:$G289=$B32))&gt;0,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'Σύνοψη'!$C$2:$C289=E$3)), IF(SUMPRODUCT(('Σύνοψη'!$F$2:$F289=$A32)*('Σύνοψη'!$C$2:$C289=E$3)*('Σύνοψη'!$G$2:$G289&lt;$B32)*('Σύνοψη'!$H$2:$H289&gt;$B32))&gt;0, CHAR(34), """") ), """")"),"")</f>
        <v/>
      </c>
      <c r="F32" s="76" t="str">
        <f ca="1">IFERROR(__xludf.DUMMYFUNCTION("IFERROR(IF(SUMPRODUCT(('Σύνοψη'!$F$2:$F289=$A32)*('Σύνοψη'!$C$2:$C289=F$3)*('Σύνοψη'!$G$2:$G289=$B32))&gt;0,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'Σύνοψη'!$C$2:$C289=F$3)), IF(SUMPRODUCT(('Σύνοψη'!$F$2:$F289=$A32)*('Σύνοψη'!$C$2:$C289=F$3)*('Σύνοψη'!$G$2:$G289&lt;$B32)*('Σύνοψη'!$H$2:$H289&gt;$B32))&gt;0, CHAR(34), """") ), """")"),"")</f>
        <v/>
      </c>
      <c r="G32" s="76" t="str">
        <f ca="1">IFERROR(__xludf.DUMMYFUNCTION("IFERROR(IF(SUMPRODUCT(('Σύνοψη'!$F$2:$F289=$A32)*('Σύνοψη'!$C$2:$C289=G$3)*('Σύνοψη'!$G$2:$G289=$B32))&gt;0,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'Σύνοψη'!$C$2:$C289=G$3)), IF(SUMPRODUCT(('Σύνοψη'!$F$2:$F289=$A32)*('Σύνοψη'!$C$2:$C289=G$3)*('Σύνοψη'!$G$2:$G289&lt;$B32)*('Σύνοψη'!$H$2:$H289&gt;$B32))&gt;0, CHAR(34), """") ), """")"),"")</f>
        <v/>
      </c>
      <c r="H32" s="76" t="str">
        <f ca="1">IFERROR(__xludf.DUMMYFUNCTION("IFERROR(IF(SUMPRODUCT(('Σύνοψη'!$F$2:$F289=$A32)*('Σύνοψη'!$C$2:$C289=H$3)*('Σύνοψη'!$G$2:$G289=$B32))&gt;0, TEXTJOIN(CHAR(10) &amp; ""-----------------------"" &amp; CHAR(10), TRUE, FILTER('Σύνοψη'!$E$2:$E289 &amp; "" - "" &amp; 'Σύνοψη'!$I$2:$I289 &amp; "" ("" &amp; 'Σύνοψη'!$J$2"&amp;":$J289 &amp; "")"", 'Σύνοψη'!$F$2:$F289=$A32, 'Σύνοψη'!$G$2:$G289=$B32, 'Σύνοψη'!$C$2:$C289=H$3)), IF(SUMPRODUCT(('Σύνοψη'!$F$2:$F289=$A32)*('Σύνοψη'!$C$2:$C289=H$3)*('Σύνοψη'!$G$2:$G289&lt;$B32)*('Σύνοψη'!$H$2:$H289&gt;$B32))&gt;0, CHAR(34), """") ), """")"),"")</f>
        <v/>
      </c>
      <c r="I32" s="77"/>
    </row>
    <row r="33" spans="1:9" s="103" customFormat="1" ht="105" x14ac:dyDescent="0.25">
      <c r="A33" s="88">
        <f t="shared" ref="A33:A45" si="2">$A$32</f>
        <v>46267</v>
      </c>
      <c r="B33" s="89">
        <v>0.375</v>
      </c>
      <c r="C33" s="67" t="str">
        <f ca="1">IFERROR(__xludf.DUMMYFUNCTION("IFERROR(IF(SUMPRODUCT(('Σύνοψη'!$F$2:$F289=$A33)*('Σύνοψη'!$C$2:$C289=C$3)*('Σύνοψη'!$G$2:$G289=$B33))&gt;0,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'Σύνοψη'!$C$2:$C289=C$3)), IF(SUMPRODUCT(('Σύνοψη'!$F$2:$F289=$A33)*('Σύνοψη'!$C$2:$C289=C$3)*('Σύνοψη'!$G$2:$G289&lt;$B33)*('Σύνοψη'!$H$2:$H289&gt;$B33))&gt;0, CHAR(34), """") ), """")"),"Αρχές Φυσικής &amp; Ακτινοπροστασίας - 09:00 - 11:00 (Νέες Αίθουσες)
-----------------------
Κυτταρική &amp; Μοριακή Βιολογία - 09:00 - 11:00 (Νέες Αίθουσες)")</f>
        <v>Αρχές Φυσικής &amp; Ακτινοπροστασίας - 09:00 - 11:00 (Νέες Αίθουσες)
-----------------------
Κυτταρική &amp; Μοριακή Βιολογία - 09:00 - 11:00 (Νέες Αίθουσες)</v>
      </c>
      <c r="D33" s="67" t="str">
        <f ca="1">IFERROR(__xludf.DUMMYFUNCTION("IFERROR(IF(SUMPRODUCT(('Σύνοψη'!$F$2:$F289=$A33)*('Σύνοψη'!$C$2:$C289=D$3)*('Σύνοψη'!$G$2:$G289=$B33))&gt;0,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'Σύνοψη'!$C$2:$C289=D$3)), IF(SUMPRODUCT(('Σύνοψη'!$F$2:$F289=$A33)*('Σύνοψη'!$C$2:$C289=D$3)*('Σύνοψη'!$G$2:$G289&lt;$B33)*('Σύνοψη'!$H$2:$H289&gt;$B33))&gt;0, CHAR(34), """") ), """")"),"")</f>
        <v/>
      </c>
      <c r="E33" s="67" t="str">
        <f ca="1">IFERROR(__xludf.DUMMYFUNCTION("IFERROR(IF(SUMPRODUCT(('Σύνοψη'!$F$2:$F289=$A33)*('Σύνοψη'!$C$2:$C289=E$3)*('Σύνοψη'!$G$2:$G289=$B33))&gt;0,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'Σύνοψη'!$C$2:$C289=E$3)), IF(SUMPRODUCT(('Σύνοψη'!$F$2:$F289=$A33)*('Σύνοψη'!$C$2:$C289=E$3)*('Σύνοψη'!$G$2:$G289&lt;$B33)*('Σύνοψη'!$H$2:$H289&gt;$B33))&gt;0, CHAR(34), """") ), """")"),"Μαιευτική &amp; Αναπαραγωγή ΙΙ - 09:00 - 12:00 (Αμφιθέατρα)")</f>
        <v>Μαιευτική &amp; Αναπαραγωγή ΙΙ - 09:00 - 12:00 (Αμφιθέατρα)</v>
      </c>
      <c r="F33" s="67" t="str">
        <f ca="1">IFERROR(__xludf.DUMMYFUNCTION("IFERROR(IF(SUMPRODUCT(('Σύνοψη'!$F$2:$F289=$A33)*('Σύνοψη'!$C$2:$C289=F$3)*('Σύνοψη'!$G$2:$G289=$B33))&gt;0,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'Σύνοψη'!$C$2:$C289=F$3)), IF(SUMPRODUCT(('Σύνοψη'!$F$2:$F289=$A33)*('Σύνοψη'!$C$2:$C289=F$3)*('Σύνοψη'!$G$2:$G289&lt;$B33)*('Σύνοψη'!$H$2:$H289&gt;$B33))&gt;0, CHAR(34), """") ), """")"),"")</f>
        <v/>
      </c>
      <c r="G33" s="67" t="str">
        <f ca="1">IFERROR(__xludf.DUMMYFUNCTION("IFERROR(IF(SUMPRODUCT(('Σύνοψη'!$F$2:$F289=$A33)*('Σύνοψη'!$C$2:$C289=G$3)*('Σύνοψη'!$G$2:$G289=$B33))&gt;0,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'Σύνοψη'!$C$2:$C289=G$3)), IF(SUMPRODUCT(('Σύνοψη'!$F$2:$F289=$A33)*('Σύνοψη'!$C$2:$C289=G$3)*('Σύνοψη'!$G$2:$G289&lt;$B33)*('Σύνοψη'!$H$2:$H289&gt;$B33))&gt;0, CHAR(34), """") ), """")"),"Πρακτική Άσκηση στην Παθολογία Ζώων Συντροφιάς Ι (1η ημέρα) - 09:00 - 15:00 (Παθολογική Κλινική)
-----------------------
Πρακτική Άσκηση στην Παθολογία Ζώων Συντροφιάς ΙΙ (1η ημέρα) - 09:00 - 15:00 (Παθολογική Κλινική)")</f>
        <v>Πρακτική Άσκηση στην Παθολογία Ζώων Συντροφιάς Ι (1η ημέρα) - 09:00 - 15:00 (Παθολογική Κλινική)
-----------------------
Πρακτική Άσκηση στην Παθολογία Ζώων Συντροφιάς ΙΙ (1η ημέρα) - 09:00 - 15:00 (Παθολογική Κλινική)</v>
      </c>
      <c r="H33" s="67" t="str">
        <f ca="1">IFERROR(__xludf.DUMMYFUNCTION("IFERROR(IF(SUMPRODUCT(('Σύνοψη'!$F$2:$F289=$A33)*('Σύνοψη'!$C$2:$C289=H$3)*('Σύνοψη'!$G$2:$G289=$B33))&gt;0, TEXTJOIN(CHAR(10) &amp; ""-----------------------"" &amp; CHAR(10), TRUE, FILTER('Σύνοψη'!$E$2:$E289 &amp; "" - "" &amp; 'Σύνοψη'!$I$2:$I289 &amp; "" ("" &amp; 'Σύνοψη'!$J$2"&amp;":$J289 &amp; "")"", 'Σύνοψη'!$F$2:$F289=$A33, 'Σύνοψη'!$G$2:$G289=$B33, 'Σύνοψη'!$C$2:$C289=H$3)), IF(SUMPRODUCT(('Σύνοψη'!$F$2:$F289=$A33)*('Σύνοψη'!$C$2:$C289=H$3)*('Σύνοψη'!$G$2:$G289&lt;$B33)*('Σύνοψη'!$H$2:$H289&gt;$B33))&gt;0, CHAR(34), """") ), """")"),"Ειδικη Παθολογία ΖΣ V (ΠΠΣ) (Πρακτικά) (1η ημέρα) - 09:00 - 15:00 (Παθολογική Κλινική)")</f>
        <v>Ειδικη Παθολογία ΖΣ V (ΠΠΣ) (Πρακτικά) (1η ημέρα) - 09:00 - 15:00 (Παθολογική Κλινική)</v>
      </c>
      <c r="I33" s="3"/>
    </row>
    <row r="34" spans="1:9" s="103" customFormat="1" x14ac:dyDescent="0.25">
      <c r="A34" s="88">
        <f t="shared" si="2"/>
        <v>46267</v>
      </c>
      <c r="B34" s="89">
        <v>0.41666666666666669</v>
      </c>
      <c r="C34" s="67" t="str">
        <f ca="1">IFERROR(__xludf.DUMMYFUNCTION("IFERROR(IF(SUMPRODUCT(('Σύνοψη'!$F$2:$F289=$A34)*('Σύνοψη'!$C$2:$C289=C$3)*('Σύνοψη'!$G$2:$G289=$B34))&gt;0,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'Σύνοψη'!$C$2:$C289=C$3)), IF(SUMPRODUCT(('Σύνοψη'!$F$2:$F289=$A34)*('Σύνοψη'!$C$2:$C289=C$3)*('Σύνοψη'!$G$2:$G289&lt;$B34)*('Σύνοψη'!$H$2:$H289&gt;$B34))&gt;0, CHAR(34), """") ), """")"),"""")</f>
        <v>"</v>
      </c>
      <c r="D34" s="67" t="str">
        <f ca="1">IFERROR(__xludf.DUMMYFUNCTION("IFERROR(IF(SUMPRODUCT(('Σύνοψη'!$F$2:$F289=$A34)*('Σύνοψη'!$C$2:$C289=D$3)*('Σύνοψη'!$G$2:$G289=$B34))&gt;0,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'Σύνοψη'!$C$2:$C289=D$3)), IF(SUMPRODUCT(('Σύνοψη'!$F$2:$F289=$A34)*('Σύνοψη'!$C$2:$C289=D$3)*('Σύνοψη'!$G$2:$G289&lt;$B34)*('Σύνοψη'!$H$2:$H289&gt;$B34))&gt;0, CHAR(34), """") ), """")"),"")</f>
        <v/>
      </c>
      <c r="E34" s="67" t="str">
        <f ca="1">IFERROR(__xludf.DUMMYFUNCTION("IFERROR(IF(SUMPRODUCT(('Σύνοψη'!$F$2:$F289=$A34)*('Σύνοψη'!$C$2:$C289=E$3)*('Σύνοψη'!$G$2:$G289=$B34))&gt;0,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'Σύνοψη'!$C$2:$C289=E$3)), IF(SUMPRODUCT(('Σύνοψη'!$F$2:$F289=$A34)*('Σύνοψη'!$C$2:$C289=E$3)*('Σύνοψη'!$G$2:$G289&lt;$B34)*('Σύνοψη'!$H$2:$H289&gt;$B34))&gt;0, CHAR(34), """") ), """")"),"""")</f>
        <v>"</v>
      </c>
      <c r="F34" s="67" t="str">
        <f ca="1">IFERROR(__xludf.DUMMYFUNCTION("IFERROR(IF(SUMPRODUCT(('Σύνοψη'!$F$2:$F289=$A34)*('Σύνοψη'!$C$2:$C289=F$3)*('Σύνοψη'!$G$2:$G289=$B34))&gt;0,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'Σύνοψη'!$C$2:$C289=F$3)), IF(SUMPRODUCT(('Σύνοψη'!$F$2:$F289=$A34)*('Σύνοψη'!$C$2:$C289=F$3)*('Σύνοψη'!$G$2:$G289&lt;$B34)*('Σύνοψη'!$H$2:$H289&gt;$B34))&gt;0, CHAR(34), """") ), """")"),"")</f>
        <v/>
      </c>
      <c r="G34" s="67" t="str">
        <f ca="1">IFERROR(__xludf.DUMMYFUNCTION("IFERROR(IF(SUMPRODUCT(('Σύνοψη'!$F$2:$F289=$A34)*('Σύνοψη'!$C$2:$C289=G$3)*('Σύνοψη'!$G$2:$G289=$B34))&gt;0,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'Σύνοψη'!$C$2:$C289=G$3)), IF(SUMPRODUCT(('Σύνοψη'!$F$2:$F289=$A34)*('Σύνοψη'!$C$2:$C289=G$3)*('Σύνοψη'!$G$2:$G289&lt;$B34)*('Σύνοψη'!$H$2:$H289&gt;$B34))&gt;0, CHAR(34), """") ), """")"),"""")</f>
        <v>"</v>
      </c>
      <c r="H34" s="67" t="str">
        <f ca="1">IFERROR(__xludf.DUMMYFUNCTION("IFERROR(IF(SUMPRODUCT(('Σύνοψη'!$F$2:$F289=$A34)*('Σύνοψη'!$C$2:$C289=H$3)*('Σύνοψη'!$G$2:$G289=$B34))&gt;0, TEXTJOIN(CHAR(10) &amp; ""-----------------------"" &amp; CHAR(10), TRUE, FILTER('Σύνοψη'!$E$2:$E289 &amp; "" - "" &amp; 'Σύνοψη'!$I$2:$I289 &amp; "" ("" &amp; 'Σύνοψη'!$J$2"&amp;":$J289 &amp; "")"", 'Σύνοψη'!$F$2:$F289=$A34, 'Σύνοψη'!$G$2:$G289=$B34, 'Σύνοψη'!$C$2:$C289=H$3)), IF(SUMPRODUCT(('Σύνοψη'!$F$2:$F289=$A34)*('Σύνοψη'!$C$2:$C289=H$3)*('Σύνοψη'!$G$2:$G289&lt;$B34)*('Σύνοψη'!$H$2:$H289&gt;$B34))&gt;0, CHAR(34), """") ), """")"),"""")</f>
        <v>"</v>
      </c>
      <c r="I34" s="3"/>
    </row>
    <row r="35" spans="1:9" s="103" customFormat="1" ht="30" x14ac:dyDescent="0.25">
      <c r="A35" s="88">
        <f t="shared" si="2"/>
        <v>46267</v>
      </c>
      <c r="B35" s="89">
        <v>0.45833333333333331</v>
      </c>
      <c r="C35" s="67" t="str">
        <f ca="1">IFERROR(__xludf.DUMMYFUNCTION("IFERROR(IF(SUMPRODUCT(('Σύνοψη'!$F$2:$F289=$A35)*('Σύνοψη'!$C$2:$C289=C$3)*('Σύνοψη'!$G$2:$G289=$B35))&gt;0,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'Σύνοψη'!$C$2:$C289=C$3)), IF(SUMPRODUCT(('Σύνοψη'!$F$2:$F289=$A35)*('Σύνοψη'!$C$2:$C289=C$3)*('Σύνοψη'!$G$2:$G289&lt;$B35)*('Σύνοψη'!$H$2:$H289&gt;$B35))&gt;0, CHAR(34), """") ), """")"),"")</f>
        <v/>
      </c>
      <c r="D35" s="67" t="str">
        <f ca="1">IFERROR(__xludf.DUMMYFUNCTION("IFERROR(IF(SUMPRODUCT(('Σύνοψη'!$F$2:$F289=$A35)*('Σύνοψη'!$C$2:$C289=D$3)*('Σύνοψη'!$G$2:$G289=$B35))&gt;0,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'Σύνοψη'!$C$2:$C289=D$3)), IF(SUMPRODUCT(('Σύνοψη'!$F$2:$F289=$A35)*('Σύνοψη'!$C$2:$C289=D$3)*('Σύνοψη'!$G$2:$G289&lt;$B35)*('Σύνοψη'!$H$2:$H289&gt;$B35))&gt;0, CHAR(34), """") ), """")"),"Γενική Παθολογική Ανατομική - 11:00 - 14:00 (Νέες Αίθουσες)")</f>
        <v>Γενική Παθολογική Ανατομική - 11:00 - 14:00 (Νέες Αίθουσες)</v>
      </c>
      <c r="E35" s="67" t="str">
        <f ca="1">IFERROR(__xludf.DUMMYFUNCTION("IFERROR(IF(SUMPRODUCT(('Σύνοψη'!$F$2:$F289=$A35)*('Σύνοψη'!$C$2:$C289=E$3)*('Σύνοψη'!$G$2:$G289=$B35))&gt;0,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'Σύνοψη'!$C$2:$C289=E$3)), IF(SUMPRODUCT(('Σύνοψη'!$F$2:$F289=$A35)*('Σύνοψη'!$C$2:$C289=E$3)*('Σύνοψη'!$G$2:$G289&lt;$B35)*('Σύνοψη'!$H$2:$H289&gt;$B35))&gt;0, CHAR(34), """") ), """")"),"""")</f>
        <v>"</v>
      </c>
      <c r="F35" s="67" t="str">
        <f ca="1">IFERROR(__xludf.DUMMYFUNCTION("IFERROR(IF(SUMPRODUCT(('Σύνοψη'!$F$2:$F289=$A35)*('Σύνοψη'!$C$2:$C289=F$3)*('Σύνοψη'!$G$2:$G289=$B35))&gt;0,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'Σύνοψη'!$C$2:$C289=F$3)), IF(SUMPRODUCT(('Σύνοψη'!$F$2:$F289=$A35)*('Σύνοψη'!$C$2:$C289=F$3)*('Σύνοψη'!$G$2:$G289&lt;$B35)*('Σύνοψη'!$H$2:$H289&gt;$B35))&gt;0, CHAR(34), """") ), """")"),"")</f>
        <v/>
      </c>
      <c r="G35" s="67" t="str">
        <f ca="1">IFERROR(__xludf.DUMMYFUNCTION("IFERROR(IF(SUMPRODUCT(('Σύνοψη'!$F$2:$F289=$A35)*('Σύνοψη'!$C$2:$C289=G$3)*('Σύνοψη'!$G$2:$G289=$B35))&gt;0,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'Σύνοψη'!$C$2:$C289=G$3)), IF(SUMPRODUCT(('Σύνοψη'!$F$2:$F289=$A35)*('Σύνοψη'!$C$2:$C289=G$3)*('Σύνοψη'!$G$2:$G289&lt;$B35)*('Σύνοψη'!$H$2:$H289&gt;$B35))&gt;0, CHAR(34), """") ), """")"),"""")</f>
        <v>"</v>
      </c>
      <c r="H35" s="67" t="str">
        <f ca="1">IFERROR(__xludf.DUMMYFUNCTION("IFERROR(IF(SUMPRODUCT(('Σύνοψη'!$F$2:$F289=$A35)*('Σύνοψη'!$C$2:$C289=H$3)*('Σύνοψη'!$G$2:$G289=$B35))&gt;0, TEXTJOIN(CHAR(10) &amp; ""-----------------------"" &amp; CHAR(10), TRUE, FILTER('Σύνοψη'!$E$2:$E289 &amp; "" - "" &amp; 'Σύνοψη'!$I$2:$I289 &amp; "" ("" &amp; 'Σύνοψη'!$J$2"&amp;":$J289 &amp; "")"", 'Σύνοψη'!$F$2:$F289=$A35, 'Σύνοψη'!$G$2:$G289=$B35, 'Σύνοψη'!$C$2:$C289=H$3)), IF(SUMPRODUCT(('Σύνοψη'!$F$2:$F289=$A35)*('Σύνοψη'!$C$2:$C289=H$3)*('Σύνοψη'!$G$2:$G289&lt;$B35)*('Σύνοψη'!$H$2:$H289&gt;$B35))&gt;0, CHAR(34), """") ), """")"),"""")</f>
        <v>"</v>
      </c>
      <c r="I35" s="3"/>
    </row>
    <row r="36" spans="1:9" s="103" customFormat="1" ht="30" x14ac:dyDescent="0.25">
      <c r="A36" s="88">
        <f t="shared" si="2"/>
        <v>46267</v>
      </c>
      <c r="B36" s="89">
        <v>0.5</v>
      </c>
      <c r="C36" s="67" t="str">
        <f ca="1">IFERROR(__xludf.DUMMYFUNCTION("IFERROR(IF(SUMPRODUCT(('Σύνοψη'!$F$2:$F289=$A36)*('Σύνοψη'!$C$2:$C289=C$3)*('Σύνοψη'!$G$2:$G289=$B36))&gt;0,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'Σύνοψη'!$C$2:$C289=C$3)), IF(SUMPRODUCT(('Σύνοψη'!$F$2:$F289=$A36)*('Σύνοψη'!$C$2:$C289=C$3)*('Σύνοψη'!$G$2:$G289&lt;$B36)*('Σύνοψη'!$H$2:$H289&gt;$B36))&gt;0, CHAR(34), """") ), """")"),"")</f>
        <v/>
      </c>
      <c r="D36" s="67" t="str">
        <f ca="1">IFERROR(__xludf.DUMMYFUNCTION("IFERROR(IF(SUMPRODUCT(('Σύνοψη'!$F$2:$F289=$A36)*('Σύνοψη'!$C$2:$C289=D$3)*('Σύνοψη'!$G$2:$G289=$B36))&gt;0,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'Σύνοψη'!$C$2:$C289=D$3)), IF(SUMPRODUCT(('Σύνοψη'!$F$2:$F289=$A36)*('Σύνοψη'!$C$2:$C289=D$3)*('Σύνοψη'!$G$2:$G289&lt;$B36)*('Σύνοψη'!$H$2:$H289&gt;$B36))&gt;0, CHAR(34), """") ), """")"),"""")</f>
        <v>"</v>
      </c>
      <c r="E36" s="67" t="str">
        <f ca="1">IFERROR(__xludf.DUMMYFUNCTION("IFERROR(IF(SUMPRODUCT(('Σύνοψη'!$F$2:$F289=$A36)*('Σύνοψη'!$C$2:$C289=E$3)*('Σύνοψη'!$G$2:$G289=$B36))&gt;0,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'Σύνοψη'!$C$2:$C289=E$3)), IF(SUMPRODUCT(('Σύνοψη'!$F$2:$F289=$A36)*('Σύνοψη'!$C$2:$C289=E$3)*('Σύνοψη'!$G$2:$G289&lt;$B36)*('Σύνοψη'!$H$2:$H289&gt;$B36))&gt;0, CHAR(34), """") ), """")"),"")</f>
        <v/>
      </c>
      <c r="F36" s="67" t="str">
        <f ca="1">IFERROR(__xludf.DUMMYFUNCTION("IFERROR(IF(SUMPRODUCT(('Σύνοψη'!$F$2:$F289=$A36)*('Σύνοψη'!$C$2:$C289=F$3)*('Σύνοψη'!$G$2:$G289=$B36))&gt;0,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'Σύνοψη'!$C$2:$C289=F$3)), IF(SUMPRODUCT(('Σύνοψη'!$F$2:$F289=$A36)*('Σύνοψη'!$C$2:$C289=F$3)*('Σύνοψη'!$G$2:$G289&lt;$B36)*('Σύνοψη'!$H$2:$H289&gt;$B36))&gt;0, CHAR(34), """") ), """")"),"Ορθοπεδική Χειρουργική - 12:00 - 14:00 (Αμφιθέατρα)")</f>
        <v>Ορθοπεδική Χειρουργική - 12:00 - 14:00 (Αμφιθέατρα)</v>
      </c>
      <c r="G36" s="67" t="str">
        <f ca="1">IFERROR(__xludf.DUMMYFUNCTION("IFERROR(IF(SUMPRODUCT(('Σύνοψη'!$F$2:$F289=$A36)*('Σύνοψη'!$C$2:$C289=G$3)*('Σύνοψη'!$G$2:$G289=$B36))&gt;0,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'Σύνοψη'!$C$2:$C289=G$3)), IF(SUMPRODUCT(('Σύνοψη'!$F$2:$F289=$A36)*('Σύνοψη'!$C$2:$C289=G$3)*('Σύνοψη'!$G$2:$G289&lt;$B36)*('Σύνοψη'!$H$2:$H289&gt;$B36))&gt;0, CHAR(34), """") ), """")"),"""")</f>
        <v>"</v>
      </c>
      <c r="H36" s="67" t="str">
        <f ca="1">IFERROR(__xludf.DUMMYFUNCTION("IFERROR(IF(SUMPRODUCT(('Σύνοψη'!$F$2:$F289=$A36)*('Σύνοψη'!$C$2:$C289=H$3)*('Σύνοψη'!$G$2:$G289=$B36))&gt;0, TEXTJOIN(CHAR(10) &amp; ""-----------------------"" &amp; CHAR(10), TRUE, FILTER('Σύνοψη'!$E$2:$E289 &amp; "" - "" &amp; 'Σύνοψη'!$I$2:$I289 &amp; "" ("" &amp; 'Σύνοψη'!$J$2"&amp;":$J289 &amp; "")"", 'Σύνοψη'!$F$2:$F289=$A36, 'Σύνοψη'!$G$2:$G289=$B36, 'Σύνοψη'!$C$2:$C289=H$3)), IF(SUMPRODUCT(('Σύνοψη'!$F$2:$F289=$A36)*('Σύνοψη'!$C$2:$C289=H$3)*('Σύνοψη'!$G$2:$G289&lt;$B36)*('Σύνοψη'!$H$2:$H289&gt;$B36))&gt;0, CHAR(34), """") ), """")"),"Χειρουργική ΙΙ (γραπτά) - 12:00 - 14:00 (Αμφιθέατρα)")</f>
        <v>Χειρουργική ΙΙ (γραπτά) - 12:00 - 14:00 (Αμφιθέατρα)</v>
      </c>
      <c r="I36" s="3"/>
    </row>
    <row r="37" spans="1:9" s="103" customFormat="1" x14ac:dyDescent="0.25">
      <c r="A37" s="88">
        <f t="shared" si="2"/>
        <v>46267</v>
      </c>
      <c r="B37" s="89">
        <v>0.54166666666666663</v>
      </c>
      <c r="C37" s="67" t="str">
        <f ca="1">IFERROR(__xludf.DUMMYFUNCTION("IFERROR(IF(SUMPRODUCT(('Σύνοψη'!$F$2:$F289=$A37)*('Σύνοψη'!$C$2:$C289=C$3)*('Σύνοψη'!$G$2:$G289=$B37))&gt;0,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'Σύνοψη'!$C$2:$C289=C$3)), IF(SUMPRODUCT(('Σύνοψη'!$F$2:$F289=$A37)*('Σύνοψη'!$C$2:$C289=C$3)*('Σύνοψη'!$G$2:$G289&lt;$B37)*('Σύνοψη'!$H$2:$H289&gt;$B37))&gt;0, CHAR(34), """") ), """")"),"")</f>
        <v/>
      </c>
      <c r="D37" s="67" t="str">
        <f ca="1">IFERROR(__xludf.DUMMYFUNCTION("IFERROR(IF(SUMPRODUCT(('Σύνοψη'!$F$2:$F289=$A37)*('Σύνοψη'!$C$2:$C289=D$3)*('Σύνοψη'!$G$2:$G289=$B37))&gt;0,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'Σύνοψη'!$C$2:$C289=D$3)), IF(SUMPRODUCT(('Σύνοψη'!$F$2:$F289=$A37)*('Σύνοψη'!$C$2:$C289=D$3)*('Σύνοψη'!$G$2:$G289&lt;$B37)*('Σύνοψη'!$H$2:$H289&gt;$B37))&gt;0, CHAR(34), """") ), """")"),"""")</f>
        <v>"</v>
      </c>
      <c r="E37" s="67" t="str">
        <f ca="1">IFERROR(__xludf.DUMMYFUNCTION("IFERROR(IF(SUMPRODUCT(('Σύνοψη'!$F$2:$F289=$A37)*('Σύνοψη'!$C$2:$C289=E$3)*('Σύνοψη'!$G$2:$G289=$B37))&gt;0,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'Σύνοψη'!$C$2:$C289=E$3)), IF(SUMPRODUCT(('Σύνοψη'!$F$2:$F289=$A37)*('Σύνοψη'!$C$2:$C289=E$3)*('Σύνοψη'!$G$2:$G289&lt;$B37)*('Σύνοψη'!$H$2:$H289&gt;$B37))&gt;0, CHAR(34), """") ), """")"),"")</f>
        <v/>
      </c>
      <c r="F37" s="67" t="str">
        <f ca="1">IFERROR(__xludf.DUMMYFUNCTION("IFERROR(IF(SUMPRODUCT(('Σύνοψη'!$F$2:$F289=$A37)*('Σύνοψη'!$C$2:$C289=F$3)*('Σύνοψη'!$G$2:$G289=$B37))&gt;0,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'Σύνοψη'!$C$2:$C289=F$3)), IF(SUMPRODUCT(('Σύνοψη'!$F$2:$F289=$A37)*('Σύνοψη'!$C$2:$C289=F$3)*('Σύνοψη'!$G$2:$G289&lt;$B37)*('Σύνοψη'!$H$2:$H289&gt;$B37))&gt;0, CHAR(34), """") ), """")"),"""")</f>
        <v>"</v>
      </c>
      <c r="G37" s="67" t="str">
        <f ca="1">IFERROR(__xludf.DUMMYFUNCTION("IFERROR(IF(SUMPRODUCT(('Σύνοψη'!$F$2:$F289=$A37)*('Σύνοψη'!$C$2:$C289=G$3)*('Σύνοψη'!$G$2:$G289=$B37))&gt;0,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'Σύνοψη'!$C$2:$C289=G$3)), IF(SUMPRODUCT(('Σύνοψη'!$F$2:$F289=$A37)*('Σύνοψη'!$C$2:$C289=G$3)*('Σύνοψη'!$G$2:$G289&lt;$B37)*('Σύνοψη'!$H$2:$H289&gt;$B37))&gt;0, CHAR(34), """") ), """")"),"""")</f>
        <v>"</v>
      </c>
      <c r="H37" s="67" t="str">
        <f ca="1">IFERROR(__xludf.DUMMYFUNCTION("IFERROR(IF(SUMPRODUCT(('Σύνοψη'!$F$2:$F289=$A37)*('Σύνοψη'!$C$2:$C289=H$3)*('Σύνοψη'!$G$2:$G289=$B37))&gt;0, TEXTJOIN(CHAR(10) &amp; ""-----------------------"" &amp; CHAR(10), TRUE, FILTER('Σύνοψη'!$E$2:$E289 &amp; "" - "" &amp; 'Σύνοψη'!$I$2:$I289 &amp; "" ("" &amp; 'Σύνοψη'!$J$2"&amp;":$J289 &amp; "")"", 'Σύνοψη'!$F$2:$F289=$A37, 'Σύνοψη'!$G$2:$G289=$B37, 'Σύνοψη'!$C$2:$C289=H$3)), IF(SUMPRODUCT(('Σύνοψη'!$F$2:$F289=$A37)*('Σύνοψη'!$C$2:$C289=H$3)*('Σύνοψη'!$G$2:$G289&lt;$B37)*('Σύνοψη'!$H$2:$H289&gt;$B37))&gt;0, CHAR(34), """") ), """")"),"""")</f>
        <v>"</v>
      </c>
      <c r="I37" s="3"/>
    </row>
    <row r="38" spans="1:9" s="103" customFormat="1" x14ac:dyDescent="0.25">
      <c r="A38" s="88">
        <f t="shared" si="2"/>
        <v>46267</v>
      </c>
      <c r="B38" s="89">
        <v>0.58333333333333337</v>
      </c>
      <c r="C38" s="67" t="str">
        <f ca="1">IFERROR(__xludf.DUMMYFUNCTION("IFERROR(IF(SUMPRODUCT(('Σύνοψη'!$F$2:$F289=$A38)*('Σύνοψη'!$C$2:$C289=C$3)*('Σύνοψη'!$G$2:$G289=$B38))&gt;0,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'Σύνοψη'!$C$2:$C289=C$3)), IF(SUMPRODUCT(('Σύνοψη'!$F$2:$F289=$A38)*('Σύνοψη'!$C$2:$C289=C$3)*('Σύνοψη'!$G$2:$G289&lt;$B38)*('Σύνοψη'!$H$2:$H289&gt;$B38))&gt;0, CHAR(34), """") ), """")"),"")</f>
        <v/>
      </c>
      <c r="D38" s="67" t="str">
        <f ca="1">IFERROR(__xludf.DUMMYFUNCTION("IFERROR(IF(SUMPRODUCT(('Σύνοψη'!$F$2:$F289=$A38)*('Σύνοψη'!$C$2:$C289=D$3)*('Σύνοψη'!$G$2:$G289=$B38))&gt;0,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'Σύνοψη'!$C$2:$C289=D$3)), IF(SUMPRODUCT(('Σύνοψη'!$F$2:$F289=$A38)*('Σύνοψη'!$C$2:$C289=D$3)*('Σύνοψη'!$G$2:$G289&lt;$B38)*('Σύνοψη'!$H$2:$H289&gt;$B38))&gt;0, CHAR(34), """") ), """")"),"")</f>
        <v/>
      </c>
      <c r="E38" s="67" t="str">
        <f ca="1">IFERROR(__xludf.DUMMYFUNCTION("IFERROR(IF(SUMPRODUCT(('Σύνοψη'!$F$2:$F289=$A38)*('Σύνοψη'!$C$2:$C289=E$3)*('Σύνοψη'!$G$2:$G289=$B38))&gt;0,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'Σύνοψη'!$C$2:$C289=E$3)), IF(SUMPRODUCT(('Σύνοψη'!$F$2:$F289=$A38)*('Σύνοψη'!$C$2:$C289=E$3)*('Σύνοψη'!$G$2:$G289&lt;$B38)*('Σύνοψη'!$H$2:$H289&gt;$B38))&gt;0, CHAR(34), """") ), """")"),"")</f>
        <v/>
      </c>
      <c r="F38" s="67" t="str">
        <f ca="1">IFERROR(__xludf.DUMMYFUNCTION("IFERROR(IF(SUMPRODUCT(('Σύνοψη'!$F$2:$F289=$A38)*('Σύνοψη'!$C$2:$C289=F$3)*('Σύνοψη'!$G$2:$G289=$B38))&gt;0,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'Σύνοψη'!$C$2:$C289=F$3)), IF(SUMPRODUCT(('Σύνοψη'!$F$2:$F289=$A38)*('Σύνοψη'!$C$2:$C289=F$3)*('Σύνοψη'!$G$2:$G289&lt;$B38)*('Σύνοψη'!$H$2:$H289&gt;$B38))&gt;0, CHAR(34), """") ), """")"),"")</f>
        <v/>
      </c>
      <c r="G38" s="67" t="str">
        <f ca="1">IFERROR(__xludf.DUMMYFUNCTION("IFERROR(IF(SUMPRODUCT(('Σύνοψη'!$F$2:$F289=$A38)*('Σύνοψη'!$C$2:$C289=G$3)*('Σύνοψη'!$G$2:$G289=$B38))&gt;0,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'Σύνοψη'!$C$2:$C289=G$3)), IF(SUMPRODUCT(('Σύνοψη'!$F$2:$F289=$A38)*('Σύνοψη'!$C$2:$C289=G$3)*('Σύνοψη'!$G$2:$G289&lt;$B38)*('Σύνοψη'!$H$2:$H289&gt;$B38))&gt;0, CHAR(34), """") ), """")"),"""")</f>
        <v>"</v>
      </c>
      <c r="H38" s="67" t="str">
        <f ca="1">IFERROR(__xludf.DUMMYFUNCTION("IFERROR(IF(SUMPRODUCT(('Σύνοψη'!$F$2:$F289=$A38)*('Σύνοψη'!$C$2:$C289=H$3)*('Σύνοψη'!$G$2:$G289=$B38))&gt;0, TEXTJOIN(CHAR(10) &amp; ""-----------------------"" &amp; CHAR(10), TRUE, FILTER('Σύνοψη'!$E$2:$E289 &amp; "" - "" &amp; 'Σύνοψη'!$I$2:$I289 &amp; "" ("" &amp; 'Σύνοψη'!$J$2"&amp;":$J289 &amp; "")"", 'Σύνοψη'!$F$2:$F289=$A38, 'Σύνοψη'!$G$2:$G289=$B38, 'Σύνοψη'!$C$2:$C289=H$3)), IF(SUMPRODUCT(('Σύνοψη'!$F$2:$F289=$A38)*('Σύνοψη'!$C$2:$C289=H$3)*('Σύνοψη'!$G$2:$G289&lt;$B38)*('Σύνοψη'!$H$2:$H289&gt;$B38))&gt;0, CHAR(34), """") ), """")"),"""")</f>
        <v>"</v>
      </c>
      <c r="I38" s="3"/>
    </row>
    <row r="39" spans="1:9" s="103" customFormat="1" x14ac:dyDescent="0.25">
      <c r="A39" s="88">
        <f t="shared" si="2"/>
        <v>46267</v>
      </c>
      <c r="B39" s="89">
        <v>0.625</v>
      </c>
      <c r="C39" s="67" t="str">
        <f ca="1">IFERROR(__xludf.DUMMYFUNCTION("IFERROR(IF(SUMPRODUCT(('Σύνοψη'!$F$2:$F289=$A39)*('Σύνοψη'!$C$2:$C289=C$3)*('Σύνοψη'!$G$2:$G289=$B39))&gt;0,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'Σύνοψη'!$C$2:$C289=C$3)), IF(SUMPRODUCT(('Σύνοψη'!$F$2:$F289=$A39)*('Σύνοψη'!$C$2:$C289=C$3)*('Σύνοψη'!$G$2:$G289&lt;$B39)*('Σύνοψη'!$H$2:$H289&gt;$B39))&gt;0, CHAR(34), """") ), """")"),"")</f>
        <v/>
      </c>
      <c r="D39" s="67" t="str">
        <f ca="1">IFERROR(__xludf.DUMMYFUNCTION("IFERROR(IF(SUMPRODUCT(('Σύνοψη'!$F$2:$F289=$A39)*('Σύνοψη'!$C$2:$C289=D$3)*('Σύνοψη'!$G$2:$G289=$B39))&gt;0,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'Σύνοψη'!$C$2:$C289=D$3)), IF(SUMPRODUCT(('Σύνοψη'!$F$2:$F289=$A39)*('Σύνοψη'!$C$2:$C289=D$3)*('Σύνοψη'!$G$2:$G289&lt;$B39)*('Σύνοψη'!$H$2:$H289&gt;$B39))&gt;0, CHAR(34), """") ), """")"),"")</f>
        <v/>
      </c>
      <c r="E39" s="67" t="str">
        <f ca="1">IFERROR(__xludf.DUMMYFUNCTION("IFERROR(IF(SUMPRODUCT(('Σύνοψη'!$F$2:$F289=$A39)*('Σύνοψη'!$C$2:$C289=E$3)*('Σύνοψη'!$G$2:$G289=$B39))&gt;0,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'Σύνοψη'!$C$2:$C289=E$3)), IF(SUMPRODUCT(('Σύνοψη'!$F$2:$F289=$A39)*('Σύνοψη'!$C$2:$C289=E$3)*('Σύνοψη'!$G$2:$G289&lt;$B39)*('Σύνοψη'!$H$2:$H289&gt;$B39))&gt;0, CHAR(34), """") ), """")"),"")</f>
        <v/>
      </c>
      <c r="F39" s="67" t="str">
        <f ca="1">IFERROR(__xludf.DUMMYFUNCTION("IFERROR(IF(SUMPRODUCT(('Σύνοψη'!$F$2:$F289=$A39)*('Σύνοψη'!$C$2:$C289=F$3)*('Σύνοψη'!$G$2:$G289=$B39))&gt;0,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'Σύνοψη'!$C$2:$C289=F$3)), IF(SUMPRODUCT(('Σύνοψη'!$F$2:$F289=$A39)*('Σύνοψη'!$C$2:$C289=F$3)*('Σύνοψη'!$G$2:$G289&lt;$B39)*('Σύνοψη'!$H$2:$H289&gt;$B39))&gt;0, CHAR(34), """") ), """")"),"")</f>
        <v/>
      </c>
      <c r="G39" s="67" t="str">
        <f ca="1">IFERROR(__xludf.DUMMYFUNCTION("IFERROR(IF(SUMPRODUCT(('Σύνοψη'!$F$2:$F289=$A39)*('Σύνοψη'!$C$2:$C289=G$3)*('Σύνοψη'!$G$2:$G289=$B39))&gt;0,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'Σύνοψη'!$C$2:$C289=G$3)), IF(SUMPRODUCT(('Σύνοψη'!$F$2:$F289=$A39)*('Σύνοψη'!$C$2:$C289=G$3)*('Σύνοψη'!$G$2:$G289&lt;$B39)*('Σύνοψη'!$H$2:$H289&gt;$B39))&gt;0, CHAR(34), """") ), """")"),"")</f>
        <v/>
      </c>
      <c r="H39" s="67" t="str">
        <f ca="1">IFERROR(__xludf.DUMMYFUNCTION("IFERROR(IF(SUMPRODUCT(('Σύνοψη'!$F$2:$F289=$A39)*('Σύνοψη'!$C$2:$C289=H$3)*('Σύνοψη'!$G$2:$G289=$B39))&gt;0, TEXTJOIN(CHAR(10) &amp; ""-----------------------"" &amp; CHAR(10), TRUE, FILTER('Σύνοψη'!$E$2:$E289 &amp; "" - "" &amp; 'Σύνοψη'!$I$2:$I289 &amp; "" ("" &amp; 'Σύνοψη'!$J$2"&amp;":$J289 &amp; "")"", 'Σύνοψη'!$F$2:$F289=$A39, 'Σύνοψη'!$G$2:$G289=$B39, 'Σύνοψη'!$C$2:$C289=H$3)), IF(SUMPRODUCT(('Σύνοψη'!$F$2:$F289=$A39)*('Σύνοψη'!$C$2:$C289=H$3)*('Σύνοψη'!$G$2:$G289&lt;$B39)*('Σύνοψη'!$H$2:$H289&gt;$B39))&gt;0, CHAR(34), """") ), """")"),"")</f>
        <v/>
      </c>
      <c r="I39" s="3"/>
    </row>
    <row r="40" spans="1:9" s="103" customFormat="1" ht="30" x14ac:dyDescent="0.25">
      <c r="A40" s="88">
        <f t="shared" si="2"/>
        <v>46267</v>
      </c>
      <c r="B40" s="89">
        <v>0.66666666666666663</v>
      </c>
      <c r="C40" s="67" t="str">
        <f ca="1">IFERROR(__xludf.DUMMYFUNCTION("IFERROR(IF(SUMPRODUCT(('Σύνοψη'!$F$2:$F289=$A40)*('Σύνοψη'!$C$2:$C289=C$3)*('Σύνοψη'!$G$2:$G289=$B40))&gt;0,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'Σύνοψη'!$C$2:$C289=C$3)), IF(SUMPRODUCT(('Σύνοψη'!$F$2:$F289=$A40)*('Σύνοψη'!$C$2:$C289=C$3)*('Σύνοψη'!$G$2:$G289&lt;$B40)*('Σύνοψη'!$H$2:$H289&gt;$B40))&gt;0, CHAR(34), """") ), """")"),"")</f>
        <v/>
      </c>
      <c r="D40" s="67" t="str">
        <f ca="1">IFERROR(__xludf.DUMMYFUNCTION("IFERROR(IF(SUMPRODUCT(('Σύνοψη'!$F$2:$F289=$A40)*('Σύνοψη'!$C$2:$C289=D$3)*('Σύνοψη'!$G$2:$G289=$B40))&gt;0,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'Σύνοψη'!$C$2:$C289=D$3)), IF(SUMPRODUCT(('Σύνοψη'!$F$2:$F289=$A40)*('Σύνοψη'!$C$2:$C289=D$3)*('Σύνοψη'!$G$2:$G289&lt;$B40)*('Σύνοψη'!$H$2:$H289&gt;$B40))&gt;0, CHAR(34), """") ), """")"),"")</f>
        <v/>
      </c>
      <c r="E40" s="67" t="str">
        <f ca="1">IFERROR(__xludf.DUMMYFUNCTION("IFERROR(IF(SUMPRODUCT(('Σύνοψη'!$F$2:$F289=$A40)*('Σύνοψη'!$C$2:$C289=E$3)*('Σύνοψη'!$G$2:$G289=$B40))&gt;0,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'Σύνοψη'!$C$2:$C289=E$3)), IF(SUMPRODUCT(('Σύνοψη'!$F$2:$F289=$A40)*('Σύνοψη'!$C$2:$C289=E$3)*('Σύνοψη'!$G$2:$G289&lt;$B40)*('Σύνοψη'!$H$2:$H289&gt;$B40))&gt;0, CHAR(34), """") ), """")"),"")</f>
        <v/>
      </c>
      <c r="F40" s="67" t="str">
        <f ca="1">IFERROR(__xludf.DUMMYFUNCTION("IFERROR(IF(SUMPRODUCT(('Σύνοψη'!$F$2:$F289=$A40)*('Σύνοψη'!$C$2:$C289=F$3)*('Σύνοψη'!$G$2:$G289=$B40))&gt;0,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'Σύνοψη'!$C$2:$C289=F$3)), IF(SUMPRODUCT(('Σύνοψη'!$F$2:$F289=$A40)*('Σύνοψη'!$C$2:$C289=F$3)*('Σύνοψη'!$G$2:$G289&lt;$B40)*('Σύνοψη'!$H$2:$H289&gt;$B40))&gt;0, CHAR(34), """") ), """")"),"Παθολογία Ζώων Συντροφιάς ΙΙΙ - 16:00 - 18:00 (Νέες Αίθουσες)")</f>
        <v>Παθολογία Ζώων Συντροφιάς ΙΙΙ - 16:00 - 18:00 (Νέες Αίθουσες)</v>
      </c>
      <c r="G40" s="67" t="str">
        <f ca="1">IFERROR(__xludf.DUMMYFUNCTION("IFERROR(IF(SUMPRODUCT(('Σύνοψη'!$F$2:$F289=$A40)*('Σύνοψη'!$C$2:$C289=G$3)*('Σύνοψη'!$G$2:$G289=$B40))&gt;0,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'Σύνοψη'!$C$2:$C289=G$3)), IF(SUMPRODUCT(('Σύνοψη'!$F$2:$F289=$A40)*('Σύνοψη'!$C$2:$C289=G$3)*('Σύνοψη'!$G$2:$G289&lt;$B40)*('Σύνοψη'!$H$2:$H289&gt;$B40))&gt;0, CHAR(34), """") ), """")"),"")</f>
        <v/>
      </c>
      <c r="H40" s="67" t="str">
        <f ca="1">IFERROR(__xludf.DUMMYFUNCTION("IFERROR(IF(SUMPRODUCT(('Σύνοψη'!$F$2:$F289=$A40)*('Σύνοψη'!$C$2:$C289=H$3)*('Σύνοψη'!$G$2:$G289=$B40))&gt;0, TEXTJOIN(CHAR(10) &amp; ""-----------------------"" &amp; CHAR(10), TRUE, FILTER('Σύνοψη'!$E$2:$E289 &amp; "" - "" &amp; 'Σύνοψη'!$I$2:$I289 &amp; "" ("" &amp; 'Σύνοψη'!$J$2"&amp;":$J289 &amp; "")"", 'Σύνοψη'!$F$2:$F289=$A40, 'Σύνοψη'!$G$2:$G289=$B40, 'Σύνοψη'!$C$2:$C289=H$3)), IF(SUMPRODUCT(('Σύνοψη'!$F$2:$F289=$A40)*('Σύνοψη'!$C$2:$C289=H$3)*('Σύνοψη'!$G$2:$G289&lt;$B40)*('Σύνοψη'!$H$2:$H289&gt;$B40))&gt;0, CHAR(34), """") ), """")"),"Ειδική Παθολογία ΖΣ ΙΙΙ (ΠΠΣ) - 16:00 - 18:00 (Νέες Αίθουσες)")</f>
        <v>Ειδική Παθολογία ΖΣ ΙΙΙ (ΠΠΣ) - 16:00 - 18:00 (Νέες Αίθουσες)</v>
      </c>
      <c r="I40" s="3"/>
    </row>
    <row r="41" spans="1:9" s="103" customFormat="1" x14ac:dyDescent="0.25">
      <c r="A41" s="88">
        <f t="shared" si="2"/>
        <v>46267</v>
      </c>
      <c r="B41" s="89">
        <v>0.70833333333333337</v>
      </c>
      <c r="C41" s="67" t="str">
        <f ca="1">IFERROR(__xludf.DUMMYFUNCTION("IFERROR(IF(SUMPRODUCT(('Σύνοψη'!$F$2:$F289=$A41)*('Σύνοψη'!$C$2:$C289=C$3)*('Σύνοψη'!$G$2:$G289=$B41))&gt;0,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'Σύνοψη'!$C$2:$C289=C$3)), IF(SUMPRODUCT(('Σύνοψη'!$F$2:$F289=$A41)*('Σύνοψη'!$C$2:$C289=C$3)*('Σύνοψη'!$G$2:$G289&lt;$B41)*('Σύνοψη'!$H$2:$H289&gt;$B41))&gt;0, CHAR(34), """") ), """")"),"")</f>
        <v/>
      </c>
      <c r="D41" s="67" t="str">
        <f ca="1">IFERROR(__xludf.DUMMYFUNCTION("IFERROR(IF(SUMPRODUCT(('Σύνοψη'!$F$2:$F289=$A41)*('Σύνοψη'!$C$2:$C289=D$3)*('Σύνοψη'!$G$2:$G289=$B41))&gt;0,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'Σύνοψη'!$C$2:$C289=D$3)), IF(SUMPRODUCT(('Σύνοψη'!$F$2:$F289=$A41)*('Σύνοψη'!$C$2:$C289=D$3)*('Σύνοψη'!$G$2:$G289&lt;$B41)*('Σύνοψη'!$H$2:$H289&gt;$B41))&gt;0, CHAR(34), """") ), """")"),"")</f>
        <v/>
      </c>
      <c r="E41" s="67" t="str">
        <f ca="1">IFERROR(__xludf.DUMMYFUNCTION("IFERROR(IF(SUMPRODUCT(('Σύνοψη'!$F$2:$F289=$A41)*('Σύνοψη'!$C$2:$C289=E$3)*('Σύνοψη'!$G$2:$G289=$B41))&gt;0,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'Σύνοψη'!$C$2:$C289=E$3)), IF(SUMPRODUCT(('Σύνοψη'!$F$2:$F289=$A41)*('Σύνοψη'!$C$2:$C289=E$3)*('Σύνοψη'!$G$2:$G289&lt;$B41)*('Σύνοψη'!$H$2:$H289&gt;$B41))&gt;0, CHAR(34), """") ), """")"),"")</f>
        <v/>
      </c>
      <c r="F41" s="67" t="str">
        <f ca="1">IFERROR(__xludf.DUMMYFUNCTION("IFERROR(IF(SUMPRODUCT(('Σύνοψη'!$F$2:$F289=$A41)*('Σύνοψη'!$C$2:$C289=F$3)*('Σύνοψη'!$G$2:$G289=$B41))&gt;0,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'Σύνοψη'!$C$2:$C289=F$3)), IF(SUMPRODUCT(('Σύνοψη'!$F$2:$F289=$A41)*('Σύνοψη'!$C$2:$C289=F$3)*('Σύνοψη'!$G$2:$G289&lt;$B41)*('Σύνοψη'!$H$2:$H289&gt;$B41))&gt;0, CHAR(34), """") ), """")"),"""")</f>
        <v>"</v>
      </c>
      <c r="G41" s="67" t="str">
        <f ca="1">IFERROR(__xludf.DUMMYFUNCTION("IFERROR(IF(SUMPRODUCT(('Σύνοψη'!$F$2:$F289=$A41)*('Σύνοψη'!$C$2:$C289=G$3)*('Σύνοψη'!$G$2:$G289=$B41))&gt;0,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'Σύνοψη'!$C$2:$C289=G$3)), IF(SUMPRODUCT(('Σύνοψη'!$F$2:$F289=$A41)*('Σύνοψη'!$C$2:$C289=G$3)*('Σύνοψη'!$G$2:$G289&lt;$B41)*('Σύνοψη'!$H$2:$H289&gt;$B41))&gt;0, CHAR(34), """") ), """")"),"")</f>
        <v/>
      </c>
      <c r="H41" s="67" t="str">
        <f ca="1">IFERROR(__xludf.DUMMYFUNCTION("IFERROR(IF(SUMPRODUCT(('Σύνοψη'!$F$2:$F289=$A41)*('Σύνοψη'!$C$2:$C289=H$3)*('Σύνοψη'!$G$2:$G289=$B41))&gt;0, TEXTJOIN(CHAR(10) &amp; ""-----------------------"" &amp; CHAR(10), TRUE, FILTER('Σύνοψη'!$E$2:$E289 &amp; "" - "" &amp; 'Σύνοψη'!$I$2:$I289 &amp; "" ("" &amp; 'Σύνοψη'!$J$2"&amp;":$J289 &amp; "")"", 'Σύνοψη'!$F$2:$F289=$A41, 'Σύνοψη'!$G$2:$G289=$B41, 'Σύνοψη'!$C$2:$C289=H$3)), IF(SUMPRODUCT(('Σύνοψη'!$F$2:$F289=$A41)*('Σύνοψη'!$C$2:$C289=H$3)*('Σύνοψη'!$G$2:$G289&lt;$B41)*('Σύνοψη'!$H$2:$H289&gt;$B41))&gt;0, CHAR(34), """") ), """")"),"""")</f>
        <v>"</v>
      </c>
      <c r="I41" s="3"/>
    </row>
    <row r="42" spans="1:9" s="103" customFormat="1" ht="45" x14ac:dyDescent="0.25">
      <c r="A42" s="88">
        <f t="shared" si="2"/>
        <v>46267</v>
      </c>
      <c r="B42" s="89">
        <v>0.75</v>
      </c>
      <c r="C42" s="67" t="str">
        <f ca="1">IFERROR(__xludf.DUMMYFUNCTION("IFERROR(IF(SUMPRODUCT(('Σύνοψη'!$F$2:$F289=$A42)*('Σύνοψη'!$C$2:$C289=C$3)*('Σύνοψη'!$G$2:$G289=$B42))&gt;0,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'Σύνοψη'!$C$2:$C289=C$3)), IF(SUMPRODUCT(('Σύνοψη'!$F$2:$F289=$A42)*('Σύνοψη'!$C$2:$C289=C$3)*('Σύνοψη'!$G$2:$G289&lt;$B42)*('Σύνοψη'!$H$2:$H289&gt;$B42))&gt;0, CHAR(34), """") ), """")"),"")</f>
        <v/>
      </c>
      <c r="D42" s="67" t="str">
        <f ca="1">IFERROR(__xludf.DUMMYFUNCTION("IFERROR(IF(SUMPRODUCT(('Σύνοψη'!$F$2:$F289=$A42)*('Σύνοψη'!$C$2:$C289=D$3)*('Σύνοψη'!$G$2:$G289=$B42))&gt;0,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'Σύνοψη'!$C$2:$C289=D$3)), IF(SUMPRODUCT(('Σύνοψη'!$F$2:$F289=$A42)*('Σύνοψη'!$C$2:$C289=D$3)*('Σύνοψη'!$G$2:$G289&lt;$B42)*('Σύνοψη'!$H$2:$H289&gt;$B42))&gt;0, CHAR(34), """") ), """")"),"")</f>
        <v/>
      </c>
      <c r="E42" s="67" t="str">
        <f ca="1">IFERROR(__xludf.DUMMYFUNCTION("IFERROR(IF(SUMPRODUCT(('Σύνοψη'!$F$2:$F289=$A42)*('Σύνοψη'!$C$2:$C289=E$3)*('Σύνοψη'!$G$2:$G289=$B42))&gt;0,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'Σύνοψη'!$C$2:$C289=E$3)), IF(SUMPRODUCT(('Σύνοψη'!$F$2:$F289=$A42)*('Σύνοψη'!$C$2:$C289=E$3)*('Σύνοψη'!$G$2:$G289&lt;$B42)*('Σύνοψη'!$H$2:$H289&gt;$B42))&gt;0, CHAR(34), """") ), """")"),"")</f>
        <v/>
      </c>
      <c r="F42" s="67" t="str">
        <f ca="1">IFERROR(__xludf.DUMMYFUNCTION("IFERROR(IF(SUMPRODUCT(('Σύνοψη'!$F$2:$F289=$A42)*('Σύνοψη'!$C$2:$C289=F$3)*('Σύνοψη'!$G$2:$G289=$B42))&gt;0,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'Σύνοψη'!$C$2:$C289=F$3)), IF(SUMPRODUCT(('Σύνοψη'!$F$2:$F289=$A42)*('Σύνοψη'!$C$2:$C289=F$3)*('Σύνοψη'!$G$2:$G289&lt;$B42)*('Σύνοψη'!$H$2:$H289&gt;$B42))&gt;0, CHAR(34), """") ), """")"),"")</f>
        <v/>
      </c>
      <c r="G42" s="67" t="str">
        <f ca="1">IFERROR(__xludf.DUMMYFUNCTION("IFERROR(IF(SUMPRODUCT(('Σύνοψη'!$F$2:$F289=$A42)*('Σύνοψη'!$C$2:$C289=G$3)*('Σύνοψη'!$G$2:$G289=$B42))&gt;0,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'Σύνοψη'!$C$2:$C289=G$3)), IF(SUMPRODUCT(('Σύνοψη'!$F$2:$F289=$A42)*('Σύνοψη'!$C$2:$C289=G$3)*('Σύνοψη'!$G$2:$G289&lt;$B42)*('Σύνοψη'!$H$2:$H289&gt;$B42))&gt;0, CHAR(34), """") ), """")"),"")</f>
        <v/>
      </c>
      <c r="H42" s="67" t="str">
        <f ca="1">IFERROR(__xludf.DUMMYFUNCTION("IFERROR(IF(SUMPRODUCT(('Σύνοψη'!$F$2:$F289=$A42)*('Σύνοψη'!$C$2:$C289=H$3)*('Σύνοψη'!$G$2:$G289=$B42))&gt;0, TEXTJOIN(CHAR(10) &amp; ""-----------------------"" &amp; CHAR(10), TRUE, FILTER('Σύνοψη'!$E$2:$E289 &amp; "" - "" &amp; 'Σύνοψη'!$I$2:$I289 &amp; "" ("" &amp; 'Σύνοψη'!$J$2"&amp;":$J289 &amp; "")"", 'Σύνοψη'!$F$2:$F289=$A42, 'Σύνοψη'!$G$2:$G289=$B42, 'Σύνοψη'!$C$2:$C289=H$3)), IF(SUMPRODUCT(('Σύνοψη'!$F$2:$F289=$A42)*('Σύνοψη'!$C$2:$C289=H$3)*('Σύνοψη'!$G$2:$G289&lt;$B42)*('Σύνοψη'!$H$2:$H289&gt;$B42))&gt;0, CHAR(34), """") ), """")"),"Διαγνωστική Παθολογική Αντομική ΙΙΙ (ΠΠΣ) - 18:00 - 21:00 (Αίθουσα Έναντι Χειρουργικής)")</f>
        <v>Διαγνωστική Παθολογική Αντομική ΙΙΙ (ΠΠΣ) - 18:00 - 21:00 (Αίθουσα Έναντι Χειρουργικής)</v>
      </c>
      <c r="I42" s="3"/>
    </row>
    <row r="43" spans="1:9" s="103" customFormat="1" x14ac:dyDescent="0.25">
      <c r="A43" s="88">
        <f t="shared" si="2"/>
        <v>46267</v>
      </c>
      <c r="B43" s="89">
        <v>0.79166666666666663</v>
      </c>
      <c r="C43" s="67" t="str">
        <f ca="1">IFERROR(__xludf.DUMMYFUNCTION("IFERROR(IF(SUMPRODUCT(('Σύνοψη'!$F$2:$F289=$A43)*('Σύνοψη'!$C$2:$C289=C$3)*('Σύνοψη'!$G$2:$G289=$B43))&gt;0,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'Σύνοψη'!$C$2:$C289=C$3)), IF(SUMPRODUCT(('Σύνοψη'!$F$2:$F289=$A43)*('Σύνοψη'!$C$2:$C289=C$3)*('Σύνοψη'!$G$2:$G289&lt;$B43)*('Σύνοψη'!$H$2:$H289&gt;$B43))&gt;0, CHAR(34), """") ), """")"),"")</f>
        <v/>
      </c>
      <c r="D43" s="67" t="str">
        <f ca="1">IFERROR(__xludf.DUMMYFUNCTION("IFERROR(IF(SUMPRODUCT(('Σύνοψη'!$F$2:$F289=$A43)*('Σύνοψη'!$C$2:$C289=D$3)*('Σύνοψη'!$G$2:$G289=$B43))&gt;0,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'Σύνοψη'!$C$2:$C289=D$3)), IF(SUMPRODUCT(('Σύνοψη'!$F$2:$F289=$A43)*('Σύνοψη'!$C$2:$C289=D$3)*('Σύνοψη'!$G$2:$G289&lt;$B43)*('Σύνοψη'!$H$2:$H289&gt;$B43))&gt;0, CHAR(34), """") ), """")"),"")</f>
        <v/>
      </c>
      <c r="E43" s="67" t="str">
        <f ca="1">IFERROR(__xludf.DUMMYFUNCTION("IFERROR(IF(SUMPRODUCT(('Σύνοψη'!$F$2:$F289=$A43)*('Σύνοψη'!$C$2:$C289=E$3)*('Σύνοψη'!$G$2:$G289=$B43))&gt;0,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'Σύνοψη'!$C$2:$C289=E$3)), IF(SUMPRODUCT(('Σύνοψη'!$F$2:$F289=$A43)*('Σύνοψη'!$C$2:$C289=E$3)*('Σύνοψη'!$G$2:$G289&lt;$B43)*('Σύνοψη'!$H$2:$H289&gt;$B43))&gt;0, CHAR(34), """") ), """")"),"")</f>
        <v/>
      </c>
      <c r="F43" s="67" t="str">
        <f ca="1">IFERROR(__xludf.DUMMYFUNCTION("IFERROR(IF(SUMPRODUCT(('Σύνοψη'!$F$2:$F289=$A43)*('Σύνοψη'!$C$2:$C289=F$3)*('Σύνοψη'!$G$2:$G289=$B43))&gt;0,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'Σύνοψη'!$C$2:$C289=F$3)), IF(SUMPRODUCT(('Σύνοψη'!$F$2:$F289=$A43)*('Σύνοψη'!$C$2:$C289=F$3)*('Σύνοψη'!$G$2:$G289&lt;$B43)*('Σύνοψη'!$H$2:$H289&gt;$B43))&gt;0, CHAR(34), """") ), """")"),"")</f>
        <v/>
      </c>
      <c r="G43" s="67" t="str">
        <f ca="1">IFERROR(__xludf.DUMMYFUNCTION("IFERROR(IF(SUMPRODUCT(('Σύνοψη'!$F$2:$F289=$A43)*('Σύνοψη'!$C$2:$C289=G$3)*('Σύνοψη'!$G$2:$G289=$B43))&gt;0,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'Σύνοψη'!$C$2:$C289=G$3)), IF(SUMPRODUCT(('Σύνοψη'!$F$2:$F289=$A43)*('Σύνοψη'!$C$2:$C289=G$3)*('Σύνοψη'!$G$2:$G289&lt;$B43)*('Σύνοψη'!$H$2:$H289&gt;$B43))&gt;0, CHAR(34), """") ), """")"),"")</f>
        <v/>
      </c>
      <c r="H43" s="67" t="str">
        <f ca="1">IFERROR(__xludf.DUMMYFUNCTION("IFERROR(IF(SUMPRODUCT(('Σύνοψη'!$F$2:$F289=$A43)*('Σύνοψη'!$C$2:$C289=H$3)*('Σύνοψη'!$G$2:$G289=$B43))&gt;0, TEXTJOIN(CHAR(10) &amp; ""-----------------------"" &amp; CHAR(10), TRUE, FILTER('Σύνοψη'!$E$2:$E289 &amp; "" - "" &amp; 'Σύνοψη'!$I$2:$I289 &amp; "" ("" &amp; 'Σύνοψη'!$J$2"&amp;":$J289 &amp; "")"", 'Σύνοψη'!$F$2:$F289=$A43, 'Σύνοψη'!$G$2:$G289=$B43, 'Σύνοψη'!$C$2:$C289=H$3)), IF(SUMPRODUCT(('Σύνοψη'!$F$2:$F289=$A43)*('Σύνοψη'!$C$2:$C289=H$3)*('Σύνοψη'!$G$2:$G289&lt;$B43)*('Σύνοψη'!$H$2:$H289&gt;$B43))&gt;0, CHAR(34), """") ), """")"),"""")</f>
        <v>"</v>
      </c>
      <c r="I43" s="3"/>
    </row>
    <row r="44" spans="1:9" s="103" customFormat="1" x14ac:dyDescent="0.25">
      <c r="A44" s="88">
        <f t="shared" si="2"/>
        <v>46267</v>
      </c>
      <c r="B44" s="89">
        <v>0.83333333333333337</v>
      </c>
      <c r="C44" s="67" t="str">
        <f ca="1">IFERROR(__xludf.DUMMYFUNCTION("IFERROR(IF(SUMPRODUCT(('Σύνοψη'!$F$2:$F289=$A44)*('Σύνοψη'!$C$2:$C289=C$3)*('Σύνοψη'!$G$2:$G289=$B44))&gt;0,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'Σύνοψη'!$C$2:$C289=C$3)), IF(SUMPRODUCT(('Σύνοψη'!$F$2:$F289=$A44)*('Σύνοψη'!$C$2:$C289=C$3)*('Σύνοψη'!$G$2:$G289&lt;$B44)*('Σύνοψη'!$H$2:$H289&gt;$B44))&gt;0, CHAR(34), """") ), """")"),"")</f>
        <v/>
      </c>
      <c r="D44" s="67" t="str">
        <f ca="1">IFERROR(__xludf.DUMMYFUNCTION("IFERROR(IF(SUMPRODUCT(('Σύνοψη'!$F$2:$F289=$A44)*('Σύνοψη'!$C$2:$C289=D$3)*('Σύνοψη'!$G$2:$G289=$B44))&gt;0,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'Σύνοψη'!$C$2:$C289=D$3)), IF(SUMPRODUCT(('Σύνοψη'!$F$2:$F289=$A44)*('Σύνοψη'!$C$2:$C289=D$3)*('Σύνοψη'!$G$2:$G289&lt;$B44)*('Σύνοψη'!$H$2:$H289&gt;$B44))&gt;0, CHAR(34), """") ), """")"),"")</f>
        <v/>
      </c>
      <c r="E44" s="67" t="str">
        <f ca="1">IFERROR(__xludf.DUMMYFUNCTION("IFERROR(IF(SUMPRODUCT(('Σύνοψη'!$F$2:$F289=$A44)*('Σύνοψη'!$C$2:$C289=E$3)*('Σύνοψη'!$G$2:$G289=$B44))&gt;0,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'Σύνοψη'!$C$2:$C289=E$3)), IF(SUMPRODUCT(('Σύνοψη'!$F$2:$F289=$A44)*('Σύνοψη'!$C$2:$C289=E$3)*('Σύνοψη'!$G$2:$G289&lt;$B44)*('Σύνοψη'!$H$2:$H289&gt;$B44))&gt;0, CHAR(34), """") ), """")"),"")</f>
        <v/>
      </c>
      <c r="F44" s="67" t="str">
        <f ca="1">IFERROR(__xludf.DUMMYFUNCTION("IFERROR(IF(SUMPRODUCT(('Σύνοψη'!$F$2:$F289=$A44)*('Σύνοψη'!$C$2:$C289=F$3)*('Σύνοψη'!$G$2:$G289=$B44))&gt;0,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'Σύνοψη'!$C$2:$C289=F$3)), IF(SUMPRODUCT(('Σύνοψη'!$F$2:$F289=$A44)*('Σύνοψη'!$C$2:$C289=F$3)*('Σύνοψη'!$G$2:$G289&lt;$B44)*('Σύνοψη'!$H$2:$H289&gt;$B44))&gt;0, CHAR(34), """") ), """")"),"")</f>
        <v/>
      </c>
      <c r="G44" s="67" t="str">
        <f ca="1">IFERROR(__xludf.DUMMYFUNCTION("IFERROR(IF(SUMPRODUCT(('Σύνοψη'!$F$2:$F289=$A44)*('Σύνοψη'!$C$2:$C289=G$3)*('Σύνοψη'!$G$2:$G289=$B44))&gt;0,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'Σύνοψη'!$C$2:$C289=G$3)), IF(SUMPRODUCT(('Σύνοψη'!$F$2:$F289=$A44)*('Σύνοψη'!$C$2:$C289=G$3)*('Σύνοψη'!$G$2:$G289&lt;$B44)*('Σύνοψη'!$H$2:$H289&gt;$B44))&gt;0, CHAR(34), """") ), """")"),"")</f>
        <v/>
      </c>
      <c r="H44" s="67" t="str">
        <f ca="1">IFERROR(__xludf.DUMMYFUNCTION("IFERROR(IF(SUMPRODUCT(('Σύνοψη'!$F$2:$F289=$A44)*('Σύνοψη'!$C$2:$C289=H$3)*('Σύνοψη'!$G$2:$G289=$B44))&gt;0, TEXTJOIN(CHAR(10) &amp; ""-----------------------"" &amp; CHAR(10), TRUE, FILTER('Σύνοψη'!$E$2:$E289 &amp; "" - "" &amp; 'Σύνοψη'!$I$2:$I289 &amp; "" ("" &amp; 'Σύνοψη'!$J$2"&amp;":$J289 &amp; "")"", 'Σύνοψη'!$F$2:$F289=$A44, 'Σύνοψη'!$G$2:$G289=$B44, 'Σύνοψη'!$C$2:$C289=H$3)), IF(SUMPRODUCT(('Σύνοψη'!$F$2:$F289=$A44)*('Σύνοψη'!$C$2:$C289=H$3)*('Σύνοψη'!$G$2:$G289&lt;$B44)*('Σύνοψη'!$H$2:$H289&gt;$B44))&gt;0, CHAR(34), """") ), """")"),"""")</f>
        <v>"</v>
      </c>
      <c r="I44" s="3"/>
    </row>
    <row r="45" spans="1:9" s="104" customFormat="1" x14ac:dyDescent="0.25">
      <c r="A45" s="90">
        <f t="shared" si="2"/>
        <v>46267</v>
      </c>
      <c r="B45" s="91">
        <v>0.875</v>
      </c>
      <c r="C45" s="78" t="str">
        <f ca="1">IFERROR(__xludf.DUMMYFUNCTION("IFERROR(IF(SUMPRODUCT(('Σύνοψη'!$F$2:$F289=$A45)*('Σύνοψη'!$C$2:$C289=C$3)*('Σύνοψη'!$G$2:$G289=$B45))&gt;0,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'Σύνοψη'!$C$2:$C289=C$3)), IF(SUMPRODUCT(('Σύνοψη'!$F$2:$F289=$A45)*('Σύνοψη'!$C$2:$C289=C$3)*('Σύνοψη'!$G$2:$G289&lt;$B45)*('Σύνοψη'!$H$2:$H289&gt;$B45))&gt;0, CHAR(34), """") ), """")"),"")</f>
        <v/>
      </c>
      <c r="D45" s="78" t="str">
        <f ca="1">IFERROR(__xludf.DUMMYFUNCTION("IFERROR(IF(SUMPRODUCT(('Σύνοψη'!$F$2:$F289=$A45)*('Σύνοψη'!$C$2:$C289=D$3)*('Σύνοψη'!$G$2:$G289=$B45))&gt;0,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'Σύνοψη'!$C$2:$C289=D$3)), IF(SUMPRODUCT(('Σύνοψη'!$F$2:$F289=$A45)*('Σύνοψη'!$C$2:$C289=D$3)*('Σύνοψη'!$G$2:$G289&lt;$B45)*('Σύνοψη'!$H$2:$H289&gt;$B45))&gt;0, CHAR(34), """") ), """")"),"")</f>
        <v/>
      </c>
      <c r="E45" s="78" t="str">
        <f ca="1">IFERROR(__xludf.DUMMYFUNCTION("IFERROR(IF(SUMPRODUCT(('Σύνοψη'!$F$2:$F289=$A45)*('Σύνοψη'!$C$2:$C289=E$3)*('Σύνοψη'!$G$2:$G289=$B45))&gt;0,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'Σύνοψη'!$C$2:$C289=E$3)), IF(SUMPRODUCT(('Σύνοψη'!$F$2:$F289=$A45)*('Σύνοψη'!$C$2:$C289=E$3)*('Σύνοψη'!$G$2:$G289&lt;$B45)*('Σύνοψη'!$H$2:$H289&gt;$B45))&gt;0, CHAR(34), """") ), """")"),"")</f>
        <v/>
      </c>
      <c r="F45" s="78" t="str">
        <f ca="1">IFERROR(__xludf.DUMMYFUNCTION("IFERROR(IF(SUMPRODUCT(('Σύνοψη'!$F$2:$F289=$A45)*('Σύνοψη'!$C$2:$C289=F$3)*('Σύνοψη'!$G$2:$G289=$B45))&gt;0,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'Σύνοψη'!$C$2:$C289=F$3)), IF(SUMPRODUCT(('Σύνοψη'!$F$2:$F289=$A45)*('Σύνοψη'!$C$2:$C289=F$3)*('Σύνοψη'!$G$2:$G289&lt;$B45)*('Σύνοψη'!$H$2:$H289&gt;$B45))&gt;0, CHAR(34), """") ), """")"),"")</f>
        <v/>
      </c>
      <c r="G45" s="78" t="str">
        <f ca="1">IFERROR(__xludf.DUMMYFUNCTION("IFERROR(IF(SUMPRODUCT(('Σύνοψη'!$F$2:$F289=$A45)*('Σύνοψη'!$C$2:$C289=G$3)*('Σύνοψη'!$G$2:$G289=$B45))&gt;0,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'Σύνοψη'!$C$2:$C289=G$3)), IF(SUMPRODUCT(('Σύνοψη'!$F$2:$F289=$A45)*('Σύνοψη'!$C$2:$C289=G$3)*('Σύνοψη'!$G$2:$G289&lt;$B45)*('Σύνοψη'!$H$2:$H289&gt;$B45))&gt;0, CHAR(34), """") ), """")"),"")</f>
        <v/>
      </c>
      <c r="H45" s="78" t="str">
        <f ca="1">IFERROR(__xludf.DUMMYFUNCTION("IFERROR(IF(SUMPRODUCT(('Σύνοψη'!$F$2:$F289=$A45)*('Σύνοψη'!$C$2:$C289=H$3)*('Σύνοψη'!$G$2:$G289=$B45))&gt;0, TEXTJOIN(CHAR(10) &amp; ""-----------------------"" &amp; CHAR(10), TRUE, FILTER('Σύνοψη'!$E$2:$E289 &amp; "" - "" &amp; 'Σύνοψη'!$I$2:$I289 &amp; "" ("" &amp; 'Σύνοψη'!$J$2"&amp;":$J289 &amp; "")"", 'Σύνοψη'!$F$2:$F289=$A45, 'Σύνοψη'!$G$2:$G289=$B45, 'Σύνοψη'!$C$2:$C289=H$3)), IF(SUMPRODUCT(('Σύνοψη'!$F$2:$F289=$A45)*('Σύνοψη'!$C$2:$C289=H$3)*('Σύνοψη'!$G$2:$G289&lt;$B45)*('Σύνοψη'!$H$2:$H289&gt;$B45))&gt;0, CHAR(34), """") ), """")"),"")</f>
        <v/>
      </c>
      <c r="I45" s="79"/>
    </row>
    <row r="46" spans="1:9" s="102" customFormat="1" x14ac:dyDescent="0.25">
      <c r="A46" s="86">
        <f>$D$1+3</f>
        <v>46268</v>
      </c>
      <c r="B46" s="87">
        <v>0.33333333333333331</v>
      </c>
      <c r="C46" s="76" t="str">
        <f ca="1">IFERROR(__xludf.DUMMYFUNCTION("IFERROR(IF(SUMPRODUCT(('Σύνοψη'!$F$2:$F289=$A46)*('Σύνοψη'!$C$2:$C289=C$3)*('Σύνοψη'!$G$2:$G289=$B46))&gt;0,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'Σύνοψη'!$C$2:$C289=C$3)), IF(SUMPRODUCT(('Σύνοψη'!$F$2:$F289=$A46)*('Σύνοψη'!$C$2:$C289=C$3)*('Σύνοψη'!$G$2:$G289&lt;$B46)*('Σύνοψη'!$H$2:$H289&gt;$B46))&gt;0, CHAR(34), """") ), """")"),"")</f>
        <v/>
      </c>
      <c r="D46" s="76" t="str">
        <f ca="1">IFERROR(__xludf.DUMMYFUNCTION("IFERROR(IF(SUMPRODUCT(('Σύνοψη'!$F$2:$F289=$A46)*('Σύνοψη'!$C$2:$C289=D$3)*('Σύνοψη'!$G$2:$G289=$B46))&gt;0,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'Σύνοψη'!$C$2:$C289=D$3)), IF(SUMPRODUCT(('Σύνοψη'!$F$2:$F289=$A46)*('Σύνοψη'!$C$2:$C289=D$3)*('Σύνοψη'!$G$2:$G289&lt;$B46)*('Σύνοψη'!$H$2:$H289&gt;$B46))&gt;0, CHAR(34), """") ), """")"),"")</f>
        <v/>
      </c>
      <c r="E46" s="76" t="str">
        <f ca="1">IFERROR(__xludf.DUMMYFUNCTION("IFERROR(IF(SUMPRODUCT(('Σύνοψη'!$F$2:$F289=$A46)*('Σύνοψη'!$C$2:$C289=E$3)*('Σύνοψη'!$G$2:$G289=$B46))&gt;0,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'Σύνοψη'!$C$2:$C289=E$3)), IF(SUMPRODUCT(('Σύνοψη'!$F$2:$F289=$A46)*('Σύνοψη'!$C$2:$C289=E$3)*('Σύνοψη'!$G$2:$G289&lt;$B46)*('Σύνοψη'!$H$2:$H289&gt;$B46))&gt;0, CHAR(34), """") ), """")"),"")</f>
        <v/>
      </c>
      <c r="F46" s="76" t="str">
        <f ca="1">IFERROR(__xludf.DUMMYFUNCTION("IFERROR(IF(SUMPRODUCT(('Σύνοψη'!$F$2:$F289=$A46)*('Σύνοψη'!$C$2:$C289=F$3)*('Σύνοψη'!$G$2:$G289=$B46))&gt;0,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'Σύνοψη'!$C$2:$C289=F$3)), IF(SUMPRODUCT(('Σύνοψη'!$F$2:$F289=$A46)*('Σύνοψη'!$C$2:$C289=F$3)*('Σύνοψη'!$G$2:$G289&lt;$B46)*('Σύνοψη'!$H$2:$H289&gt;$B46))&gt;0, CHAR(34), """") ), """")"),"")</f>
        <v/>
      </c>
      <c r="G46" s="76" t="str">
        <f ca="1">IFERROR(__xludf.DUMMYFUNCTION("IFERROR(IF(SUMPRODUCT(('Σύνοψη'!$F$2:$F289=$A46)*('Σύνοψη'!$C$2:$C289=G$3)*('Σύνοψη'!$G$2:$G289=$B46))&gt;0,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'Σύνοψη'!$C$2:$C289=G$3)), IF(SUMPRODUCT(('Σύνοψη'!$F$2:$F289=$A46)*('Σύνοψη'!$C$2:$C289=G$3)*('Σύνοψη'!$G$2:$G289&lt;$B46)*('Σύνοψη'!$H$2:$H289&gt;$B46))&gt;0, CHAR(34), """") ), """")"),"")</f>
        <v/>
      </c>
      <c r="H46" s="76" t="str">
        <f ca="1">IFERROR(__xludf.DUMMYFUNCTION("IFERROR(IF(SUMPRODUCT(('Σύνοψη'!$F$2:$F289=$A46)*('Σύνοψη'!$C$2:$C289=H$3)*('Σύνοψη'!$G$2:$G289=$B46))&gt;0, TEXTJOIN(CHAR(10) &amp; ""-----------------------"" &amp; CHAR(10), TRUE, FILTER('Σύνοψη'!$E$2:$E289 &amp; "" - "" &amp; 'Σύνοψη'!$I$2:$I289 &amp; "" ("" &amp; 'Σύνοψη'!$J$2"&amp;":$J289 &amp; "")"", 'Σύνοψη'!$F$2:$F289=$A46, 'Σύνοψη'!$G$2:$G289=$B46, 'Σύνοψη'!$C$2:$C289=H$3)), IF(SUMPRODUCT(('Σύνοψη'!$F$2:$F289=$A46)*('Σύνοψη'!$C$2:$C289=H$3)*('Σύνοψη'!$G$2:$G289&lt;$B46)*('Σύνοψη'!$H$2:$H289&gt;$B46))&gt;0, CHAR(34), """") ), """")"),"")</f>
        <v/>
      </c>
      <c r="I46" s="77"/>
    </row>
    <row r="47" spans="1:9" s="103" customFormat="1" ht="105" x14ac:dyDescent="0.25">
      <c r="A47" s="88">
        <f t="shared" ref="A47:A59" si="3">$A$46</f>
        <v>46268</v>
      </c>
      <c r="B47" s="89">
        <v>0.375</v>
      </c>
      <c r="C47" s="67" t="str">
        <f ca="1">IFERROR(__xludf.DUMMYFUNCTION("IFERROR(IF(SUMPRODUCT(('Σύνοψη'!$F$2:$F289=$A47)*('Σύνοψη'!$C$2:$C289=C$3)*('Σύνοψη'!$G$2:$G289=$B47))&gt;0,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'Σύνοψη'!$C$2:$C289=C$3)), IF(SUMPRODUCT(('Σύνοψη'!$F$2:$F289=$A47)*('Σύνοψη'!$C$2:$C289=C$3)*('Σύνοψη'!$G$2:$G289&lt;$B47)*('Σύνοψη'!$H$2:$H289&gt;$B47))&gt;0, CHAR(34), """") ), """")"),"")</f>
        <v/>
      </c>
      <c r="D47" s="67" t="str">
        <f ca="1">IFERROR(__xludf.DUMMYFUNCTION("IFERROR(IF(SUMPRODUCT(('Σύνοψη'!$F$2:$F289=$A47)*('Σύνοψη'!$C$2:$C289=D$3)*('Σύνοψη'!$G$2:$G289=$B47))&gt;0,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'Σύνοψη'!$C$2:$C289=D$3)), IF(SUMPRODUCT(('Σύνοψη'!$F$2:$F289=$A47)*('Σύνοψη'!$C$2:$C289=D$3)*('Σύνοψη'!$G$2:$G289&lt;$B47)*('Σύνοψη'!$H$2:$H289&gt;$B47))&gt;0, CHAR(34), """") ), """")"),"")</f>
        <v/>
      </c>
      <c r="E47" s="67" t="str">
        <f ca="1">IFERROR(__xludf.DUMMYFUNCTION("IFERROR(IF(SUMPRODUCT(('Σύνοψη'!$F$2:$F289=$A47)*('Σύνοψη'!$C$2:$C289=E$3)*('Σύνοψη'!$G$2:$G289=$B47))&gt;0,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'Σύνοψη'!$C$2:$C289=E$3)), IF(SUMPRODUCT(('Σύνοψη'!$F$2:$F289=$A47)*('Σύνοψη'!$C$2:$C289=E$3)*('Σύνοψη'!$G$2:$G289&lt;$B47)*('Σύνοψη'!$H$2:$H289&gt;$B47))&gt;0, CHAR(34), """") ), """")"),"")</f>
        <v/>
      </c>
      <c r="F47" s="67" t="str">
        <f ca="1">IFERROR(__xludf.DUMMYFUNCTION("IFERROR(IF(SUMPRODUCT(('Σύνοψη'!$F$2:$F289=$A47)*('Σύνοψη'!$C$2:$C289=F$3)*('Σύνοψη'!$G$2:$G289=$B47))&gt;0,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'Σύνοψη'!$C$2:$C289=F$3)), IF(SUMPRODUCT(('Σύνοψη'!$F$2:$F289=$A47)*('Σύνοψη'!$C$2:$C289=F$3)*('Σύνοψη'!$G$2:$G289&lt;$B47)*('Σύνοψη'!$H$2:$H289&gt;$B47))&gt;0, CHAR(34), """") ), """")"),"")</f>
        <v/>
      </c>
      <c r="G47" s="67" t="str">
        <f ca="1">IFERROR(__xludf.DUMMYFUNCTION("IFERROR(IF(SUMPRODUCT(('Σύνοψη'!$F$2:$F289=$A47)*('Σύνοψη'!$C$2:$C289=G$3)*('Σύνοψη'!$G$2:$G289=$B47))&gt;0,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'Σύνοψη'!$C$2:$C289=G$3)), IF(SUMPRODUCT(('Σύνοψη'!$F$2:$F289=$A47)*('Σύνοψη'!$C$2:$C289=G$3)*('Σύνοψη'!$G$2:$G289&lt;$B47)*('Σύνοψη'!$H$2:$H289&gt;$B47))&gt;0, CHAR(34), """") ), """")"),"Πρακτική Άσκηση στην Παθολογία Ζώων Συντροφιάς Ι (2η ημέρα) - 09:00 - 15:00 (Παθολογική Κλινική)
-----------------------
Πρακτική Άσκηση στην Παθολογία Ζώων Συντροφιάς ΙΙ (2η ημέρα) - 09:00 - 15:00 (Παθολογική Κλινική)")</f>
        <v>Πρακτική Άσκηση στην Παθολογία Ζώων Συντροφιάς Ι (2η ημέρα) - 09:00 - 15:00 (Παθολογική Κλινική)
-----------------------
Πρακτική Άσκηση στην Παθολογία Ζώων Συντροφιάς ΙΙ (2η ημέρα) - 09:00 - 15:00 (Παθολογική Κλινική)</v>
      </c>
      <c r="H47" s="67" t="str">
        <f ca="1">IFERROR(__xludf.DUMMYFUNCTION("IFERROR(IF(SUMPRODUCT(('Σύνοψη'!$F$2:$F289=$A47)*('Σύνοψη'!$C$2:$C289=H$3)*('Σύνοψη'!$G$2:$G289=$B47))&gt;0, TEXTJOIN(CHAR(10) &amp; ""-----------------------"" &amp; CHAR(10), TRUE, FILTER('Σύνοψη'!$E$2:$E289 &amp; "" - "" &amp; 'Σύνοψη'!$I$2:$I289 &amp; "" ("" &amp; 'Σύνοψη'!$J$2"&amp;":$J289 &amp; "")"", 'Σύνοψη'!$F$2:$F289=$A47, 'Σύνοψη'!$G$2:$G289=$B47, 'Σύνοψη'!$C$2:$C289=H$3)), IF(SUMPRODUCT(('Σύνοψη'!$F$2:$F289=$A47)*('Σύνοψη'!$C$2:$C289=H$3)*('Σύνοψη'!$G$2:$G289&lt;$B47)*('Σύνοψη'!$H$2:$H289&gt;$B47))&gt;0, CHAR(34), """") ), """")"),"Ειδικη Παθολογία ΖΣ V (ΠΠΣ) (Πρακτικά) (2η ημέρα) - 09:00 - 15:00 (Παθολογική Κλινική)")</f>
        <v>Ειδικη Παθολογία ΖΣ V (ΠΠΣ) (Πρακτικά) (2η ημέρα) - 09:00 - 15:00 (Παθολογική Κλινική)</v>
      </c>
      <c r="I47" s="3"/>
    </row>
    <row r="48" spans="1:9" s="103" customFormat="1" x14ac:dyDescent="0.25">
      <c r="A48" s="88">
        <f t="shared" si="3"/>
        <v>46268</v>
      </c>
      <c r="B48" s="89">
        <v>0.41666666666666669</v>
      </c>
      <c r="C48" s="67" t="str">
        <f ca="1">IFERROR(__xludf.DUMMYFUNCTION("IFERROR(IF(SUMPRODUCT(('Σύνοψη'!$F$2:$F289=$A48)*('Σύνοψη'!$C$2:$C289=C$3)*('Σύνοψη'!$G$2:$G289=$B48))&gt;0,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'Σύνοψη'!$C$2:$C289=C$3)), IF(SUMPRODUCT(('Σύνοψη'!$F$2:$F289=$A48)*('Σύνοψη'!$C$2:$C289=C$3)*('Σύνοψη'!$G$2:$G289&lt;$B48)*('Σύνοψη'!$H$2:$H289&gt;$B48))&gt;0, CHAR(34), """") ), """")"),"")</f>
        <v/>
      </c>
      <c r="D48" s="67" t="str">
        <f ca="1">IFERROR(__xludf.DUMMYFUNCTION("IFERROR(IF(SUMPRODUCT(('Σύνοψη'!$F$2:$F289=$A48)*('Σύνοψη'!$C$2:$C289=D$3)*('Σύνοψη'!$G$2:$G289=$B48))&gt;0,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'Σύνοψη'!$C$2:$C289=D$3)), IF(SUMPRODUCT(('Σύνοψη'!$F$2:$F289=$A48)*('Σύνοψη'!$C$2:$C289=D$3)*('Σύνοψη'!$G$2:$G289&lt;$B48)*('Σύνοψη'!$H$2:$H289&gt;$B48))&gt;0, CHAR(34), """") ), """")"),"")</f>
        <v/>
      </c>
      <c r="E48" s="67" t="str">
        <f ca="1">IFERROR(__xludf.DUMMYFUNCTION("IFERROR(IF(SUMPRODUCT(('Σύνοψη'!$F$2:$F289=$A48)*('Σύνοψη'!$C$2:$C289=E$3)*('Σύνοψη'!$G$2:$G289=$B48))&gt;0,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'Σύνοψη'!$C$2:$C289=E$3)), IF(SUMPRODUCT(('Σύνοψη'!$F$2:$F289=$A48)*('Σύνοψη'!$C$2:$C289=E$3)*('Σύνοψη'!$G$2:$G289&lt;$B48)*('Σύνοψη'!$H$2:$H289&gt;$B48))&gt;0, CHAR(34), """") ), """")"),"")</f>
        <v/>
      </c>
      <c r="F48" s="67" t="str">
        <f ca="1">IFERROR(__xludf.DUMMYFUNCTION("IFERROR(IF(SUMPRODUCT(('Σύνοψη'!$F$2:$F289=$A48)*('Σύνοψη'!$C$2:$C289=F$3)*('Σύνοψη'!$G$2:$G289=$B48))&gt;0,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'Σύνοψη'!$C$2:$C289=F$3)), IF(SUMPRODUCT(('Σύνοψη'!$F$2:$F289=$A48)*('Σύνοψη'!$C$2:$C289=F$3)*('Σύνοψη'!$G$2:$G289&lt;$B48)*('Σύνοψη'!$H$2:$H289&gt;$B48))&gt;0, CHAR(34), """") ), """")"),"")</f>
        <v/>
      </c>
      <c r="G48" s="67" t="str">
        <f ca="1">IFERROR(__xludf.DUMMYFUNCTION("IFERROR(IF(SUMPRODUCT(('Σύνοψη'!$F$2:$F289=$A48)*('Σύνοψη'!$C$2:$C289=G$3)*('Σύνοψη'!$G$2:$G289=$B48))&gt;0,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'Σύνοψη'!$C$2:$C289=G$3)), IF(SUMPRODUCT(('Σύνοψη'!$F$2:$F289=$A48)*('Σύνοψη'!$C$2:$C289=G$3)*('Σύνοψη'!$G$2:$G289&lt;$B48)*('Σύνοψη'!$H$2:$H289&gt;$B48))&gt;0, CHAR(34), """") ), """")"),"""")</f>
        <v>"</v>
      </c>
      <c r="H48" s="67" t="str">
        <f ca="1">IFERROR(__xludf.DUMMYFUNCTION("IFERROR(IF(SUMPRODUCT(('Σύνοψη'!$F$2:$F289=$A48)*('Σύνοψη'!$C$2:$C289=H$3)*('Σύνοψη'!$G$2:$G289=$B48))&gt;0, TEXTJOIN(CHAR(10) &amp; ""-----------------------"" &amp; CHAR(10), TRUE, FILTER('Σύνοψη'!$E$2:$E289 &amp; "" - "" &amp; 'Σύνοψη'!$I$2:$I289 &amp; "" ("" &amp; 'Σύνοψη'!$J$2"&amp;":$J289 &amp; "")"", 'Σύνοψη'!$F$2:$F289=$A48, 'Σύνοψη'!$G$2:$G289=$B48, 'Σύνοψη'!$C$2:$C289=H$3)), IF(SUMPRODUCT(('Σύνοψη'!$F$2:$F289=$A48)*('Σύνοψη'!$C$2:$C289=H$3)*('Σύνοψη'!$G$2:$G289&lt;$B48)*('Σύνοψη'!$H$2:$H289&gt;$B48))&gt;0, CHAR(34), """") ), """")"),"""")</f>
        <v>"</v>
      </c>
      <c r="I48" s="3"/>
    </row>
    <row r="49" spans="1:9" s="103" customFormat="1" x14ac:dyDescent="0.25">
      <c r="A49" s="88">
        <f t="shared" si="3"/>
        <v>46268</v>
      </c>
      <c r="B49" s="89">
        <v>0.45833333333333331</v>
      </c>
      <c r="C49" s="67" t="str">
        <f ca="1">IFERROR(__xludf.DUMMYFUNCTION("IFERROR(IF(SUMPRODUCT(('Σύνοψη'!$F$2:$F289=$A49)*('Σύνοψη'!$C$2:$C289=C$3)*('Σύνοψη'!$G$2:$G289=$B49))&gt;0,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'Σύνοψη'!$C$2:$C289=C$3)), IF(SUMPRODUCT(('Σύνοψη'!$F$2:$F289=$A49)*('Σύνοψη'!$C$2:$C289=C$3)*('Σύνοψη'!$G$2:$G289&lt;$B49)*('Σύνοψη'!$H$2:$H289&gt;$B49))&gt;0, CHAR(34), """") ), """")"),"")</f>
        <v/>
      </c>
      <c r="D49" s="67" t="str">
        <f ca="1">IFERROR(__xludf.DUMMYFUNCTION("IFERROR(IF(SUMPRODUCT(('Σύνοψη'!$F$2:$F289=$A49)*('Σύνοψη'!$C$2:$C289=D$3)*('Σύνοψη'!$G$2:$G289=$B49))&gt;0,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'Σύνοψη'!$C$2:$C289=D$3)), IF(SUMPRODUCT(('Σύνοψη'!$F$2:$F289=$A49)*('Σύνοψη'!$C$2:$C289=D$3)*('Σύνοψη'!$G$2:$G289&lt;$B49)*('Σύνοψη'!$H$2:$H289&gt;$B49))&gt;0, CHAR(34), """") ), """")"),"")</f>
        <v/>
      </c>
      <c r="E49" s="67" t="str">
        <f ca="1">IFERROR(__xludf.DUMMYFUNCTION("IFERROR(IF(SUMPRODUCT(('Σύνοψη'!$F$2:$F289=$A49)*('Σύνοψη'!$C$2:$C289=E$3)*('Σύνοψη'!$G$2:$G289=$B49))&gt;0,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'Σύνοψη'!$C$2:$C289=E$3)), IF(SUMPRODUCT(('Σύνοψη'!$F$2:$F289=$A49)*('Σύνοψη'!$C$2:$C289=E$3)*('Σύνοψη'!$G$2:$G289&lt;$B49)*('Σύνοψη'!$H$2:$H289&gt;$B49))&gt;0, CHAR(34), """") ), """")"),"")</f>
        <v/>
      </c>
      <c r="F49" s="67" t="str">
        <f ca="1">IFERROR(__xludf.DUMMYFUNCTION("IFERROR(IF(SUMPRODUCT(('Σύνοψη'!$F$2:$F289=$A49)*('Σύνοψη'!$C$2:$C289=F$3)*('Σύνοψη'!$G$2:$G289=$B49))&gt;0,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'Σύνοψη'!$C$2:$C289=F$3)), IF(SUMPRODUCT(('Σύνοψη'!$F$2:$F289=$A49)*('Σύνοψη'!$C$2:$C289=F$3)*('Σύνοψη'!$G$2:$G289&lt;$B49)*('Σύνοψη'!$H$2:$H289&gt;$B49))&gt;0, CHAR(34), """") ), """")"),"")</f>
        <v/>
      </c>
      <c r="G49" s="67" t="str">
        <f ca="1">IFERROR(__xludf.DUMMYFUNCTION("IFERROR(IF(SUMPRODUCT(('Σύνοψη'!$F$2:$F289=$A49)*('Σύνοψη'!$C$2:$C289=G$3)*('Σύνοψη'!$G$2:$G289=$B49))&gt;0,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'Σύνοψη'!$C$2:$C289=G$3)), IF(SUMPRODUCT(('Σύνοψη'!$F$2:$F289=$A49)*('Σύνοψη'!$C$2:$C289=G$3)*('Σύνοψη'!$G$2:$G289&lt;$B49)*('Σύνοψη'!$H$2:$H289&gt;$B49))&gt;0, CHAR(34), """") ), """")"),"""")</f>
        <v>"</v>
      </c>
      <c r="H49" s="67" t="str">
        <f ca="1">IFERROR(__xludf.DUMMYFUNCTION("IFERROR(IF(SUMPRODUCT(('Σύνοψη'!$F$2:$F289=$A49)*('Σύνοψη'!$C$2:$C289=H$3)*('Σύνοψη'!$G$2:$G289=$B49))&gt;0, TEXTJOIN(CHAR(10) &amp; ""-----------------------"" &amp; CHAR(10), TRUE, FILTER('Σύνοψη'!$E$2:$E289 &amp; "" - "" &amp; 'Σύνοψη'!$I$2:$I289 &amp; "" ("" &amp; 'Σύνοψη'!$J$2"&amp;":$J289 &amp; "")"", 'Σύνοψη'!$F$2:$F289=$A49, 'Σύνοψη'!$G$2:$G289=$B49, 'Σύνοψη'!$C$2:$C289=H$3)), IF(SUMPRODUCT(('Σύνοψη'!$F$2:$F289=$A49)*('Σύνοψη'!$C$2:$C289=H$3)*('Σύνοψη'!$G$2:$G289&lt;$B49)*('Σύνοψη'!$H$2:$H289&gt;$B49))&gt;0, CHAR(34), """") ), """")"),"""")</f>
        <v>"</v>
      </c>
      <c r="I49" s="3"/>
    </row>
    <row r="50" spans="1:9" s="103" customFormat="1" ht="45" x14ac:dyDescent="0.25">
      <c r="A50" s="88">
        <f t="shared" si="3"/>
        <v>46268</v>
      </c>
      <c r="B50" s="89">
        <v>0.5</v>
      </c>
      <c r="C50" s="67" t="str">
        <f ca="1">IFERROR(__xludf.DUMMYFUNCTION("IFERROR(IF(SUMPRODUCT(('Σύνοψη'!$F$2:$F289=$A50)*('Σύνοψη'!$C$2:$C289=C$3)*('Σύνοψη'!$G$2:$G289=$B50))&gt;0,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'Σύνοψη'!$C$2:$C289=C$3)), IF(SUMPRODUCT(('Σύνοψη'!$F$2:$F289=$A50)*('Σύνοψη'!$C$2:$C289=C$3)*('Σύνοψη'!$G$2:$G289&lt;$B50)*('Σύνοψη'!$H$2:$H289&gt;$B50))&gt;0, CHAR(34), """") ), """")"),"")</f>
        <v/>
      </c>
      <c r="D50" s="67" t="str">
        <f ca="1">IFERROR(__xludf.DUMMYFUNCTION("IFERROR(IF(SUMPRODUCT(('Σύνοψη'!$F$2:$F289=$A50)*('Σύνοψη'!$C$2:$C289=D$3)*('Σύνοψη'!$G$2:$G289=$B50))&gt;0,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'Σύνοψη'!$C$2:$C289=D$3)), IF(SUMPRODUCT(('Σύνοψη'!$F$2:$F289=$A50)*('Σύνοψη'!$C$2:$C289=D$3)*('Σύνοψη'!$G$2:$G289&lt;$B50)*('Σύνοψη'!$H$2:$H289&gt;$B50))&gt;0, CHAR(34), """") ), """")"),"Ιχθυολογία, Υδρόβια Πανίδα &amp; Υδατοκαλλιέργειες (Θεωρία) - 12:00 - 15:00 (Νέες Αίθουσες)")</f>
        <v>Ιχθυολογία, Υδρόβια Πανίδα &amp; Υδατοκαλλιέργειες (Θεωρία) - 12:00 - 15:00 (Νέες Αίθουσες)</v>
      </c>
      <c r="E50" s="67" t="str">
        <f ca="1">IFERROR(__xludf.DUMMYFUNCTION("IFERROR(IF(SUMPRODUCT(('Σύνοψη'!$F$2:$F289=$A50)*('Σύνοψη'!$C$2:$C289=E$3)*('Σύνοψη'!$G$2:$G289=$B50))&gt;0,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'Σύνοψη'!$C$2:$C289=E$3)), IF(SUMPRODUCT(('Σύνοψη'!$F$2:$F289=$A50)*('Σύνοψη'!$C$2:$C289=E$3)*('Σύνοψη'!$G$2:$G289&lt;$B50)*('Σύνοψη'!$H$2:$H289&gt;$B50))&gt;0, CHAR(34), """") ), """")"),"Ιχθυοπαθολογία &amp; Διαχείριση Υγείας Υδρόβιων Οργανισμών - 12:00 - 15:00 (Νέες Αίθουσες)")</f>
        <v>Ιχθυοπαθολογία &amp; Διαχείριση Υγείας Υδρόβιων Οργανισμών - 12:00 - 15:00 (Νέες Αίθουσες)</v>
      </c>
      <c r="F50" s="67" t="str">
        <f ca="1">IFERROR(__xludf.DUMMYFUNCTION("IFERROR(IF(SUMPRODUCT(('Σύνοψη'!$F$2:$F289=$A50)*('Σύνοψη'!$C$2:$C289=F$3)*('Σύνοψη'!$G$2:$G289=$B50))&gt;0,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'Σύνοψη'!$C$2:$C289=F$3)), IF(SUMPRODUCT(('Σύνοψη'!$F$2:$F289=$A50)*('Σύνοψη'!$C$2:$C289=F$3)*('Σύνοψη'!$G$2:$G289&lt;$B50)*('Σύνοψη'!$H$2:$H289&gt;$B50))&gt;0, CHAR(34), """") ), """")"),"Αναισθησιολογία &amp; Εντατική Θεραπεία - 12:00 - 14:00 (Αμφιθέατρα)")</f>
        <v>Αναισθησιολογία &amp; Εντατική Θεραπεία - 12:00 - 14:00 (Αμφιθέατρα)</v>
      </c>
      <c r="G50" s="67" t="str">
        <f ca="1">IFERROR(__xludf.DUMMYFUNCTION("IFERROR(IF(SUMPRODUCT(('Σύνοψη'!$F$2:$F289=$A50)*('Σύνοψη'!$C$2:$C289=G$3)*('Σύνοψη'!$G$2:$G289=$B50))&gt;0,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'Σύνοψη'!$C$2:$C289=G$3)), IF(SUMPRODUCT(('Σύνοψη'!$F$2:$F289=$A50)*('Σύνοψη'!$C$2:$C289=G$3)*('Σύνοψη'!$G$2:$G289&lt;$B50)*('Σύνοψη'!$H$2:$H289&gt;$B50))&gt;0, CHAR(34), """") ), """")"),"""")</f>
        <v>"</v>
      </c>
      <c r="H50" s="67" t="str">
        <f ca="1">IFERROR(__xludf.DUMMYFUNCTION("IFERROR(IF(SUMPRODUCT(('Σύνοψη'!$F$2:$F289=$A50)*('Σύνοψη'!$C$2:$C289=H$3)*('Σύνοψη'!$G$2:$G289=$B50))&gt;0, TEXTJOIN(CHAR(10) &amp; ""-----------------------"" &amp; CHAR(10), TRUE, FILTER('Σύνοψη'!$E$2:$E289 &amp; "" - "" &amp; 'Σύνοψη'!$I$2:$I289 &amp; "" ("" &amp; 'Σύνοψη'!$J$2"&amp;":$J289 &amp; "")"", 'Σύνοψη'!$F$2:$F289=$A50, 'Σύνοψη'!$G$2:$G289=$B50, 'Σύνοψη'!$C$2:$C289=H$3)), IF(SUMPRODUCT(('Σύνοψη'!$F$2:$F289=$A50)*('Σύνοψη'!$C$2:$C289=H$3)*('Σύνοψη'!$G$2:$G289&lt;$B50)*('Σύνοψη'!$H$2:$H289&gt;$B50))&gt;0, CHAR(34), """") ), """")"),"Χειρουργική Ι (γραπτά) - 12:00 - 14:00 (Αμφιθέατρα)")</f>
        <v>Χειρουργική Ι (γραπτά) - 12:00 - 14:00 (Αμφιθέατρα)</v>
      </c>
      <c r="I50" s="3"/>
    </row>
    <row r="51" spans="1:9" s="103" customFormat="1" x14ac:dyDescent="0.25">
      <c r="A51" s="88">
        <f t="shared" si="3"/>
        <v>46268</v>
      </c>
      <c r="B51" s="89">
        <v>0.54166666666666663</v>
      </c>
      <c r="C51" s="67" t="str">
        <f ca="1">IFERROR(__xludf.DUMMYFUNCTION("IFERROR(IF(SUMPRODUCT(('Σύνοψη'!$F$2:$F289=$A51)*('Σύνοψη'!$C$2:$C289=C$3)*('Σύνοψη'!$G$2:$G289=$B51))&gt;0,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'Σύνοψη'!$C$2:$C289=C$3)), IF(SUMPRODUCT(('Σύνοψη'!$F$2:$F289=$A51)*('Σύνοψη'!$C$2:$C289=C$3)*('Σύνοψη'!$G$2:$G289&lt;$B51)*('Σύνοψη'!$H$2:$H289&gt;$B51))&gt;0, CHAR(34), """") ), """")"),"")</f>
        <v/>
      </c>
      <c r="D51" s="67" t="str">
        <f ca="1">IFERROR(__xludf.DUMMYFUNCTION("IFERROR(IF(SUMPRODUCT(('Σύνοψη'!$F$2:$F289=$A51)*('Σύνοψη'!$C$2:$C289=D$3)*('Σύνοψη'!$G$2:$G289=$B51))&gt;0,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'Σύνοψη'!$C$2:$C289=D$3)), IF(SUMPRODUCT(('Σύνοψη'!$F$2:$F289=$A51)*('Σύνοψη'!$C$2:$C289=D$3)*('Σύνοψη'!$G$2:$G289&lt;$B51)*('Σύνοψη'!$H$2:$H289&gt;$B51))&gt;0, CHAR(34), """") ), """")"),"""")</f>
        <v>"</v>
      </c>
      <c r="E51" s="67" t="str">
        <f ca="1">IFERROR(__xludf.DUMMYFUNCTION("IFERROR(IF(SUMPRODUCT(('Σύνοψη'!$F$2:$F289=$A51)*('Σύνοψη'!$C$2:$C289=E$3)*('Σύνοψη'!$G$2:$G289=$B51))&gt;0,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'Σύνοψη'!$C$2:$C289=E$3)), IF(SUMPRODUCT(('Σύνοψη'!$F$2:$F289=$A51)*('Σύνοψη'!$C$2:$C289=E$3)*('Σύνοψη'!$G$2:$G289&lt;$B51)*('Σύνοψη'!$H$2:$H289&gt;$B51))&gt;0, CHAR(34), """") ), """")"),"""")</f>
        <v>"</v>
      </c>
      <c r="F51" s="67" t="str">
        <f ca="1">IFERROR(__xludf.DUMMYFUNCTION("IFERROR(IF(SUMPRODUCT(('Σύνοψη'!$F$2:$F289=$A51)*('Σύνοψη'!$C$2:$C289=F$3)*('Σύνοψη'!$G$2:$G289=$B51))&gt;0,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'Σύνοψη'!$C$2:$C289=F$3)), IF(SUMPRODUCT(('Σύνοψη'!$F$2:$F289=$A51)*('Σύνοψη'!$C$2:$C289=F$3)*('Σύνοψη'!$G$2:$G289&lt;$B51)*('Σύνοψη'!$H$2:$H289&gt;$B51))&gt;0, CHAR(34), """") ), """")"),"""")</f>
        <v>"</v>
      </c>
      <c r="G51" s="67" t="str">
        <f ca="1">IFERROR(__xludf.DUMMYFUNCTION("IFERROR(IF(SUMPRODUCT(('Σύνοψη'!$F$2:$F289=$A51)*('Σύνοψη'!$C$2:$C289=G$3)*('Σύνοψη'!$G$2:$G289=$B51))&gt;0,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'Σύνοψη'!$C$2:$C289=G$3)), IF(SUMPRODUCT(('Σύνοψη'!$F$2:$F289=$A51)*('Σύνοψη'!$C$2:$C289=G$3)*('Σύνοψη'!$G$2:$G289&lt;$B51)*('Σύνοψη'!$H$2:$H289&gt;$B51))&gt;0, CHAR(34), """") ), """")"),"""")</f>
        <v>"</v>
      </c>
      <c r="H51" s="67" t="str">
        <f ca="1">IFERROR(__xludf.DUMMYFUNCTION("IFERROR(IF(SUMPRODUCT(('Σύνοψη'!$F$2:$F289=$A51)*('Σύνοψη'!$C$2:$C289=H$3)*('Σύνοψη'!$G$2:$G289=$B51))&gt;0, TEXTJOIN(CHAR(10) &amp; ""-----------------------"" &amp; CHAR(10), TRUE, FILTER('Σύνοψη'!$E$2:$E289 &amp; "" - "" &amp; 'Σύνοψη'!$I$2:$I289 &amp; "" ("" &amp; 'Σύνοψη'!$J$2"&amp;":$J289 &amp; "")"", 'Σύνοψη'!$F$2:$F289=$A51, 'Σύνοψη'!$G$2:$G289=$B51, 'Σύνοψη'!$C$2:$C289=H$3)), IF(SUMPRODUCT(('Σύνοψη'!$F$2:$F289=$A51)*('Σύνοψη'!$C$2:$C289=H$3)*('Σύνοψη'!$G$2:$G289&lt;$B51)*('Σύνοψη'!$H$2:$H289&gt;$B51))&gt;0, CHAR(34), """") ), """")"),"""")</f>
        <v>"</v>
      </c>
      <c r="I51" s="3"/>
    </row>
    <row r="52" spans="1:9" s="103" customFormat="1" x14ac:dyDescent="0.25">
      <c r="A52" s="88">
        <f t="shared" si="3"/>
        <v>46268</v>
      </c>
      <c r="B52" s="89">
        <v>0.58333333333333337</v>
      </c>
      <c r="C52" s="67" t="str">
        <f ca="1">IFERROR(__xludf.DUMMYFUNCTION("IFERROR(IF(SUMPRODUCT(('Σύνοψη'!$F$2:$F289=$A52)*('Σύνοψη'!$C$2:$C289=C$3)*('Σύνοψη'!$G$2:$G289=$B52))&gt;0,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'Σύνοψη'!$C$2:$C289=C$3)), IF(SUMPRODUCT(('Σύνοψη'!$F$2:$F289=$A52)*('Σύνοψη'!$C$2:$C289=C$3)*('Σύνοψη'!$G$2:$G289&lt;$B52)*('Σύνοψη'!$H$2:$H289&gt;$B52))&gt;0, CHAR(34), """") ), """")"),"")</f>
        <v/>
      </c>
      <c r="D52" s="67" t="str">
        <f ca="1">IFERROR(__xludf.DUMMYFUNCTION("IFERROR(IF(SUMPRODUCT(('Σύνοψη'!$F$2:$F289=$A52)*('Σύνοψη'!$C$2:$C289=D$3)*('Σύνοψη'!$G$2:$G289=$B52))&gt;0,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'Σύνοψη'!$C$2:$C289=D$3)), IF(SUMPRODUCT(('Σύνοψη'!$F$2:$F289=$A52)*('Σύνοψη'!$C$2:$C289=D$3)*('Σύνοψη'!$G$2:$G289&lt;$B52)*('Σύνοψη'!$H$2:$H289&gt;$B52))&gt;0, CHAR(34), """") ), """")"),"""")</f>
        <v>"</v>
      </c>
      <c r="E52" s="67" t="str">
        <f ca="1">IFERROR(__xludf.DUMMYFUNCTION("IFERROR(IF(SUMPRODUCT(('Σύνοψη'!$F$2:$F289=$A52)*('Σύνοψη'!$C$2:$C289=E$3)*('Σύνοψη'!$G$2:$G289=$B52))&gt;0,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'Σύνοψη'!$C$2:$C289=E$3)), IF(SUMPRODUCT(('Σύνοψη'!$F$2:$F289=$A52)*('Σύνοψη'!$C$2:$C289=E$3)*('Σύνοψη'!$G$2:$G289&lt;$B52)*('Σύνοψη'!$H$2:$H289&gt;$B52))&gt;0, CHAR(34), """") ), """")"),"""")</f>
        <v>"</v>
      </c>
      <c r="F52" s="67" t="str">
        <f ca="1">IFERROR(__xludf.DUMMYFUNCTION("IFERROR(IF(SUMPRODUCT(('Σύνοψη'!$F$2:$F289=$A52)*('Σύνοψη'!$C$2:$C289=F$3)*('Σύνοψη'!$G$2:$G289=$B52))&gt;0,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'Σύνοψη'!$C$2:$C289=F$3)), IF(SUMPRODUCT(('Σύνοψη'!$F$2:$F289=$A52)*('Σύνοψη'!$C$2:$C289=F$3)*('Σύνοψη'!$G$2:$G289&lt;$B52)*('Σύνοψη'!$H$2:$H289&gt;$B52))&gt;0, CHAR(34), """") ), """")"),"")</f>
        <v/>
      </c>
      <c r="G52" s="67" t="str">
        <f ca="1">IFERROR(__xludf.DUMMYFUNCTION("IFERROR(IF(SUMPRODUCT(('Σύνοψη'!$F$2:$F289=$A52)*('Σύνοψη'!$C$2:$C289=G$3)*('Σύνοψη'!$G$2:$G289=$B52))&gt;0,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'Σύνοψη'!$C$2:$C289=G$3)), IF(SUMPRODUCT(('Σύνοψη'!$F$2:$F289=$A52)*('Σύνοψη'!$C$2:$C289=G$3)*('Σύνοψη'!$G$2:$G289&lt;$B52)*('Σύνοψη'!$H$2:$H289&gt;$B52))&gt;0, CHAR(34), """") ), """")"),"""")</f>
        <v>"</v>
      </c>
      <c r="H52" s="67" t="str">
        <f ca="1">IFERROR(__xludf.DUMMYFUNCTION("IFERROR(IF(SUMPRODUCT(('Σύνοψη'!$F$2:$F289=$A52)*('Σύνοψη'!$C$2:$C289=H$3)*('Σύνοψη'!$G$2:$G289=$B52))&gt;0, TEXTJOIN(CHAR(10) &amp; ""-----------------------"" &amp; CHAR(10), TRUE, FILTER('Σύνοψη'!$E$2:$E289 &amp; "" - "" &amp; 'Σύνοψη'!$I$2:$I289 &amp; "" ("" &amp; 'Σύνοψη'!$J$2"&amp;":$J289 &amp; "")"", 'Σύνοψη'!$F$2:$F289=$A52, 'Σύνοψη'!$G$2:$G289=$B52, 'Σύνοψη'!$C$2:$C289=H$3)), IF(SUMPRODUCT(('Σύνοψη'!$F$2:$F289=$A52)*('Σύνοψη'!$C$2:$C289=H$3)*('Σύνοψη'!$G$2:$G289&lt;$B52)*('Σύνοψη'!$H$2:$H289&gt;$B52))&gt;0, CHAR(34), """") ), """")"),"""")</f>
        <v>"</v>
      </c>
      <c r="I52" s="3"/>
    </row>
    <row r="53" spans="1:9" s="103" customFormat="1" ht="105" x14ac:dyDescent="0.25">
      <c r="A53" s="88">
        <f t="shared" si="3"/>
        <v>46268</v>
      </c>
      <c r="B53" s="89">
        <v>0.625</v>
      </c>
      <c r="C53" s="67" t="str">
        <f ca="1">IFERROR(__xludf.DUMMYFUNCTION("IFERROR(IF(SUMPRODUCT(('Σύνοψη'!$F$2:$F289=$A53)*('Σύνοψη'!$C$2:$C289=C$3)*('Σύνοψη'!$G$2:$G289=$B53))&gt;0,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'Σύνοψη'!$C$2:$C289=C$3)), IF(SUMPRODUCT(('Σύνοψη'!$F$2:$F289=$A53)*('Σύνοψη'!$C$2:$C289=C$3)*('Σύνοψη'!$G$2:$G289&lt;$B53)*('Σύνοψη'!$H$2:$H289&gt;$B53))&gt;0, CHAR(34), """") ), """")"),"Ζωοτεχνία, Ηθολογία, Ευζωΐα &amp; Σχετική Νομοθεσία Ι - 15:00 - 18:00 (Αμφιθέατρα)
-----------------------
Ζωοτεχνία, Ηθολογία, Ευζωΐα &amp; Σχετική Νομοθεσία ΙΙ - 15:00 - 18:00 (Αμφιθέατρα)")</f>
        <v>Ζωοτεχνία, Ηθολογία, Ευζωΐα &amp; Σχετική Νομοθεσία Ι - 15:00 - 18:00 (Αμφιθέατρα)
-----------------------
Ζωοτεχνία, Ηθολογία, Ευζωΐα &amp; Σχετική Νομοθεσία ΙΙ - 15:00 - 18:00 (Αμφιθέατρα)</v>
      </c>
      <c r="D53" s="67" t="str">
        <f ca="1">IFERROR(__xludf.DUMMYFUNCTION("IFERROR(IF(SUMPRODUCT(('Σύνοψη'!$F$2:$F289=$A53)*('Σύνοψη'!$C$2:$C289=D$3)*('Σύνοψη'!$G$2:$G289=$B53))&gt;0,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'Σύνοψη'!$C$2:$C289=D$3)), IF(SUMPRODUCT(('Σύνοψη'!$F$2:$F289=$A53)*('Σύνοψη'!$C$2:$C289=D$3)*('Σύνοψη'!$G$2:$G289&lt;$B53)*('Σύνοψη'!$H$2:$H289&gt;$B53))&gt;0, CHAR(34), """") ), """")"),"")</f>
        <v/>
      </c>
      <c r="E53" s="67" t="str">
        <f ca="1">IFERROR(__xludf.DUMMYFUNCTION("IFERROR(IF(SUMPRODUCT(('Σύνοψη'!$F$2:$F289=$A53)*('Σύνοψη'!$C$2:$C289=E$3)*('Σύνοψη'!$G$2:$G289=$B53))&gt;0,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'Σύνοψη'!$C$2:$C289=E$3)), IF(SUMPRODUCT(('Σύνοψη'!$F$2:$F289=$A53)*('Σύνοψη'!$C$2:$C289=E$3)*('Σύνοψη'!$G$2:$G289&lt;$B53)*('Σύνοψη'!$H$2:$H289&gt;$B53))&gt;0, CHAR(34), """") ), """")"),"")</f>
        <v/>
      </c>
      <c r="F53" s="67" t="str">
        <f ca="1">IFERROR(__xludf.DUMMYFUNCTION("IFERROR(IF(SUMPRODUCT(('Σύνοψη'!$F$2:$F289=$A53)*('Σύνοψη'!$C$2:$C289=F$3)*('Σύνοψη'!$G$2:$G289=$B53))&gt;0,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'Σύνοψη'!$C$2:$C289=F$3)), IF(SUMPRODUCT(('Σύνοψη'!$F$2:$F289=$A53)*('Σύνοψη'!$C$2:$C289=F$3)*('Σύνοψη'!$G$2:$G289&lt;$B53)*('Σύνοψη'!$H$2:$H289&gt;$B53))&gt;0, CHAR(34), """") ), """")"),"")</f>
        <v/>
      </c>
      <c r="G53" s="67" t="str">
        <f ca="1">IFERROR(__xludf.DUMMYFUNCTION("IFERROR(IF(SUMPRODUCT(('Σύνοψη'!$F$2:$F289=$A53)*('Σύνοψη'!$C$2:$C289=G$3)*('Σύνοψη'!$G$2:$G289=$B53))&gt;0,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'Σύνοψη'!$C$2:$C289=G$3)), IF(SUMPRODUCT(('Σύνοψη'!$F$2:$F289=$A53)*('Σύνοψη'!$C$2:$C289=G$3)*('Σύνοψη'!$G$2:$G289&lt;$B53)*('Σύνοψη'!$H$2:$H289&gt;$B53))&gt;0, CHAR(34), """") ), """")"),"")</f>
        <v/>
      </c>
      <c r="H53" s="67" t="str">
        <f ca="1">IFERROR(__xludf.DUMMYFUNCTION("IFERROR(IF(SUMPRODUCT(('Σύνοψη'!$F$2:$F289=$A53)*('Σύνοψη'!$C$2:$C289=H$3)*('Σύνοψη'!$G$2:$G289=$B53))&gt;0, TEXTJOIN(CHAR(10) &amp; ""-----------------------"" &amp; CHAR(10), TRUE, FILTER('Σύνοψη'!$E$2:$E289 &amp; "" - "" &amp; 'Σύνοψη'!$I$2:$I289 &amp; "" ("" &amp; 'Σύνοψη'!$J$2"&amp;":$J289 &amp; "")"", 'Σύνοψη'!$F$2:$F289=$A53, 'Σύνοψη'!$G$2:$G289=$B53, 'Σύνοψη'!$C$2:$C289=H$3)), IF(SUMPRODUCT(('Σύνοψη'!$F$2:$F289=$A53)*('Σύνοψη'!$C$2:$C289=H$3)*('Σύνοψη'!$G$2:$G289&lt;$B53)*('Σύνοψη'!$H$2:$H289&gt;$B53))&gt;0, CHAR(34), """") ), """")"),"Ζωοτεχνία, Ηθολογία..Ι, ΙΙ, ΙΙΙ (ΠΠΣ) - 15:00 - 18:00 (Αμφιθέατρα)")</f>
        <v>Ζωοτεχνία, Ηθολογία..Ι, ΙΙ, ΙΙΙ (ΠΠΣ) - 15:00 - 18:00 (Αμφιθέατρα)</v>
      </c>
      <c r="I53" s="3"/>
    </row>
    <row r="54" spans="1:9" s="103" customFormat="1" x14ac:dyDescent="0.25">
      <c r="A54" s="88">
        <f t="shared" si="3"/>
        <v>46268</v>
      </c>
      <c r="B54" s="89">
        <v>0.66666666666666663</v>
      </c>
      <c r="C54" s="67" t="str">
        <f ca="1">IFERROR(__xludf.DUMMYFUNCTION("IFERROR(IF(SUMPRODUCT(('Σύνοψη'!$F$2:$F289=$A54)*('Σύνοψη'!$C$2:$C289=C$3)*('Σύνοψη'!$G$2:$G289=$B54))&gt;0,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'Σύνοψη'!$C$2:$C289=C$3)), IF(SUMPRODUCT(('Σύνοψη'!$F$2:$F289=$A54)*('Σύνοψη'!$C$2:$C289=C$3)*('Σύνοψη'!$G$2:$G289&lt;$B54)*('Σύνοψη'!$H$2:$H289&gt;$B54))&gt;0, CHAR(34), """") ), """")"),"""")</f>
        <v>"</v>
      </c>
      <c r="D54" s="67" t="str">
        <f ca="1">IFERROR(__xludf.DUMMYFUNCTION("IFERROR(IF(SUMPRODUCT(('Σύνοψη'!$F$2:$F289=$A54)*('Σύνοψη'!$C$2:$C289=D$3)*('Σύνοψη'!$G$2:$G289=$B54))&gt;0,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'Σύνοψη'!$C$2:$C289=D$3)), IF(SUMPRODUCT(('Σύνοψη'!$F$2:$F289=$A54)*('Σύνοψη'!$C$2:$C289=D$3)*('Σύνοψη'!$G$2:$G289&lt;$B54)*('Σύνοψη'!$H$2:$H289&gt;$B54))&gt;0, CHAR(34), """") ), """")"),"")</f>
        <v/>
      </c>
      <c r="E54" s="67" t="str">
        <f ca="1">IFERROR(__xludf.DUMMYFUNCTION("IFERROR(IF(SUMPRODUCT(('Σύνοψη'!$F$2:$F289=$A54)*('Σύνοψη'!$C$2:$C289=E$3)*('Σύνοψη'!$G$2:$G289=$B54))&gt;0,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'Σύνοψη'!$C$2:$C289=E$3)), IF(SUMPRODUCT(('Σύνοψη'!$F$2:$F289=$A54)*('Σύνοψη'!$C$2:$C289=E$3)*('Σύνοψη'!$G$2:$G289&lt;$B54)*('Σύνοψη'!$H$2:$H289&gt;$B54))&gt;0, CHAR(34), """") ), """")"),"")</f>
        <v/>
      </c>
      <c r="F54" s="67" t="str">
        <f ca="1">IFERROR(__xludf.DUMMYFUNCTION("IFERROR(IF(SUMPRODUCT(('Σύνοψη'!$F$2:$F289=$A54)*('Σύνοψη'!$C$2:$C289=F$3)*('Σύνοψη'!$G$2:$G289=$B54))&gt;0,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'Σύνοψη'!$C$2:$C289=F$3)), IF(SUMPRODUCT(('Σύνοψη'!$F$2:$F289=$A54)*('Σύνοψη'!$C$2:$C289=F$3)*('Σύνοψη'!$G$2:$G289&lt;$B54)*('Σύνοψη'!$H$2:$H289&gt;$B54))&gt;0, CHAR(34), """") ), """")"),"")</f>
        <v/>
      </c>
      <c r="G54" s="67" t="str">
        <f ca="1">IFERROR(__xludf.DUMMYFUNCTION("IFERROR(IF(SUMPRODUCT(('Σύνοψη'!$F$2:$F289=$A54)*('Σύνοψη'!$C$2:$C289=G$3)*('Σύνοψη'!$G$2:$G289=$B54))&gt;0,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'Σύνοψη'!$C$2:$C289=G$3)), IF(SUMPRODUCT(('Σύνοψη'!$F$2:$F289=$A54)*('Σύνοψη'!$C$2:$C289=G$3)*('Σύνοψη'!$G$2:$G289&lt;$B54)*('Σύνοψη'!$H$2:$H289&gt;$B54))&gt;0, CHAR(34), """") ), """")"),"")</f>
        <v/>
      </c>
      <c r="H54" s="67" t="str">
        <f ca="1">IFERROR(__xludf.DUMMYFUNCTION("IFERROR(IF(SUMPRODUCT(('Σύνοψη'!$F$2:$F289=$A54)*('Σύνοψη'!$C$2:$C289=H$3)*('Σύνοψη'!$G$2:$G289=$B54))&gt;0, TEXTJOIN(CHAR(10) &amp; ""-----------------------"" &amp; CHAR(10), TRUE, FILTER('Σύνοψη'!$E$2:$E289 &amp; "" - "" &amp; 'Σύνοψη'!$I$2:$I289 &amp; "" ("" &amp; 'Σύνοψη'!$J$2"&amp;":$J289 &amp; "")"", 'Σύνοψη'!$F$2:$F289=$A54, 'Σύνοψη'!$G$2:$G289=$B54, 'Σύνοψη'!$C$2:$C289=H$3)), IF(SUMPRODUCT(('Σύνοψη'!$F$2:$F289=$A54)*('Σύνοψη'!$C$2:$C289=H$3)*('Σύνοψη'!$G$2:$G289&lt;$B54)*('Σύνοψη'!$H$2:$H289&gt;$B54))&gt;0, CHAR(34), """") ), """")"),"""")</f>
        <v>"</v>
      </c>
      <c r="I54" s="3"/>
    </row>
    <row r="55" spans="1:9" s="103" customFormat="1" x14ac:dyDescent="0.25">
      <c r="A55" s="88">
        <f t="shared" si="3"/>
        <v>46268</v>
      </c>
      <c r="B55" s="89">
        <v>0.70833333333333337</v>
      </c>
      <c r="C55" s="67" t="str">
        <f ca="1">IFERROR(__xludf.DUMMYFUNCTION("IFERROR(IF(SUMPRODUCT(('Σύνοψη'!$F$2:$F289=$A55)*('Σύνοψη'!$C$2:$C289=C$3)*('Σύνοψη'!$G$2:$G289=$B55))&gt;0,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'Σύνοψη'!$C$2:$C289=C$3)), IF(SUMPRODUCT(('Σύνοψη'!$F$2:$F289=$A55)*('Σύνοψη'!$C$2:$C289=C$3)*('Σύνοψη'!$G$2:$G289&lt;$B55)*('Σύνοψη'!$H$2:$H289&gt;$B55))&gt;0, CHAR(34), """") ), """")"),"""")</f>
        <v>"</v>
      </c>
      <c r="D55" s="67" t="str">
        <f ca="1">IFERROR(__xludf.DUMMYFUNCTION("IFERROR(IF(SUMPRODUCT(('Σύνοψη'!$F$2:$F289=$A55)*('Σύνοψη'!$C$2:$C289=D$3)*('Σύνοψη'!$G$2:$G289=$B55))&gt;0,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'Σύνοψη'!$C$2:$C289=D$3)), IF(SUMPRODUCT(('Σύνοψη'!$F$2:$F289=$A55)*('Σύνοψη'!$C$2:$C289=D$3)*('Σύνοψη'!$G$2:$G289&lt;$B55)*('Σύνοψη'!$H$2:$H289&gt;$B55))&gt;0, CHAR(34), """") ), """")"),"")</f>
        <v/>
      </c>
      <c r="E55" s="67" t="str">
        <f ca="1">IFERROR(__xludf.DUMMYFUNCTION("IFERROR(IF(SUMPRODUCT(('Σύνοψη'!$F$2:$F289=$A55)*('Σύνοψη'!$C$2:$C289=E$3)*('Σύνοψη'!$G$2:$G289=$B55))&gt;0,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'Σύνοψη'!$C$2:$C289=E$3)), IF(SUMPRODUCT(('Σύνοψη'!$F$2:$F289=$A55)*('Σύνοψη'!$C$2:$C289=E$3)*('Σύνοψη'!$G$2:$G289&lt;$B55)*('Σύνοψη'!$H$2:$H289&gt;$B55))&gt;0, CHAR(34), """") ), """")"),"")</f>
        <v/>
      </c>
      <c r="F55" s="67" t="str">
        <f ca="1">IFERROR(__xludf.DUMMYFUNCTION("IFERROR(IF(SUMPRODUCT(('Σύνοψη'!$F$2:$F289=$A55)*('Σύνοψη'!$C$2:$C289=F$3)*('Σύνοψη'!$G$2:$G289=$B55))&gt;0,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'Σύνοψη'!$C$2:$C289=F$3)), IF(SUMPRODUCT(('Σύνοψη'!$F$2:$F289=$A55)*('Σύνοψη'!$C$2:$C289=F$3)*('Σύνοψη'!$G$2:$G289&lt;$B55)*('Σύνοψη'!$H$2:$H289&gt;$B55))&gt;0, CHAR(34), """") ), """")"),"")</f>
        <v/>
      </c>
      <c r="G55" s="67" t="str">
        <f ca="1">IFERROR(__xludf.DUMMYFUNCTION("IFERROR(IF(SUMPRODUCT(('Σύνοψη'!$F$2:$F289=$A55)*('Σύνοψη'!$C$2:$C289=G$3)*('Σύνοψη'!$G$2:$G289=$B55))&gt;0,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'Σύνοψη'!$C$2:$C289=G$3)), IF(SUMPRODUCT(('Σύνοψη'!$F$2:$F289=$A55)*('Σύνοψη'!$C$2:$C289=G$3)*('Σύνοψη'!$G$2:$G289&lt;$B55)*('Σύνοψη'!$H$2:$H289&gt;$B55))&gt;0, CHAR(34), """") ), """")"),"")</f>
        <v/>
      </c>
      <c r="H55" s="67" t="str">
        <f ca="1">IFERROR(__xludf.DUMMYFUNCTION("IFERROR(IF(SUMPRODUCT(('Σύνοψη'!$F$2:$F289=$A55)*('Σύνοψη'!$C$2:$C289=H$3)*('Σύνοψη'!$G$2:$G289=$B55))&gt;0, TEXTJOIN(CHAR(10) &amp; ""-----------------------"" &amp; CHAR(10), TRUE, FILTER('Σύνοψη'!$E$2:$E289 &amp; "" - "" &amp; 'Σύνοψη'!$I$2:$I289 &amp; "" ("" &amp; 'Σύνοψη'!$J$2"&amp;":$J289 &amp; "")"", 'Σύνοψη'!$F$2:$F289=$A55, 'Σύνοψη'!$G$2:$G289=$B55, 'Σύνοψη'!$C$2:$C289=H$3)), IF(SUMPRODUCT(('Σύνοψη'!$F$2:$F289=$A55)*('Σύνοψη'!$C$2:$C289=H$3)*('Σύνοψη'!$G$2:$G289&lt;$B55)*('Σύνοψη'!$H$2:$H289&gt;$B55))&gt;0, CHAR(34), """") ), """")"),"""")</f>
        <v>"</v>
      </c>
      <c r="I55" s="3"/>
    </row>
    <row r="56" spans="1:9" s="103" customFormat="1" ht="60" x14ac:dyDescent="0.25">
      <c r="A56" s="88">
        <f t="shared" si="3"/>
        <v>46268</v>
      </c>
      <c r="B56" s="89">
        <v>0.75</v>
      </c>
      <c r="C56" s="67" t="str">
        <f ca="1">IFERROR(__xludf.DUMMYFUNCTION("IFERROR(IF(SUMPRODUCT(('Σύνοψη'!$F$2:$F289=$A56)*('Σύνοψη'!$C$2:$C289=C$3)*('Σύνοψη'!$G$2:$G289=$B56))&gt;0,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'Σύνοψη'!$C$2:$C289=C$3)), IF(SUMPRODUCT(('Σύνοψη'!$F$2:$F289=$A56)*('Σύνοψη'!$C$2:$C289=C$3)*('Σύνοψη'!$G$2:$G289&lt;$B56)*('Σύνοψη'!$H$2:$H289&gt;$B56))&gt;0, CHAR(34), """") ), """")"),"")</f>
        <v/>
      </c>
      <c r="D56" s="67" t="str">
        <f ca="1">IFERROR(__xludf.DUMMYFUNCTION("IFERROR(IF(SUMPRODUCT(('Σύνοψη'!$F$2:$F289=$A56)*('Σύνοψη'!$C$2:$C289=D$3)*('Σύνοψη'!$G$2:$G289=$B56))&gt;0,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'Σύνοψη'!$C$2:$C289=D$3)), IF(SUMPRODUCT(('Σύνοψη'!$F$2:$F289=$A56)*('Σύνοψη'!$C$2:$C289=D$3)*('Σύνοψη'!$G$2:$G289&lt;$B56)*('Σύνοψη'!$H$2:$H289&gt;$B56))&gt;0, CHAR(34), """") ), """")"),"")</f>
        <v/>
      </c>
      <c r="E56" s="67" t="str">
        <f ca="1">IFERROR(__xludf.DUMMYFUNCTION("IFERROR(IF(SUMPRODUCT(('Σύνοψη'!$F$2:$F289=$A56)*('Σύνοψη'!$C$2:$C289=E$3)*('Σύνοψη'!$G$2:$G289=$B56))&gt;0,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'Σύνοψη'!$C$2:$C289=E$3)), IF(SUMPRODUCT(('Σύνοψη'!$F$2:$F289=$A56)*('Σύνοψη'!$C$2:$C289=E$3)*('Σύνοψη'!$G$2:$G289&lt;$B56)*('Σύνοψη'!$H$2:$H289&gt;$B56))&gt;0, CHAR(34), """") ), """")"),"Γενική Ιστοπαθολογία Ζωικών Οργανισμών - 18:00 - 21:00 (Αίθουσα Μικροσκοπίας)")</f>
        <v>Γενική Ιστοπαθολογία Ζωικών Οργανισμών - 18:00 - 21:00 (Αίθουσα Μικροσκοπίας)</v>
      </c>
      <c r="F56" s="67" t="str">
        <f ca="1">IFERROR(__xludf.DUMMYFUNCTION("IFERROR(IF(SUMPRODUCT(('Σύνοψη'!$F$2:$F289=$A56)*('Σύνοψη'!$C$2:$C289=F$3)*('Σύνοψη'!$G$2:$G289=$B56))&gt;0,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'Σύνοψη'!$C$2:$C289=F$3)), IF(SUMPRODUCT(('Σύνοψη'!$F$2:$F289=$A56)*('Σύνοψη'!$C$2:$C289=F$3)*('Σύνοψη'!$G$2:$G289&lt;$B56)*('Σύνοψη'!$H$2:$H289&gt;$B56))&gt;0, CHAR(34), """") ), """")"),"")</f>
        <v/>
      </c>
      <c r="G56" s="67" t="str">
        <f ca="1">IFERROR(__xludf.DUMMYFUNCTION("IFERROR(IF(SUMPRODUCT(('Σύνοψη'!$F$2:$F289=$A56)*('Σύνοψη'!$C$2:$C289=G$3)*('Σύνοψη'!$G$2:$G289=$B56))&gt;0,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'Σύνοψη'!$C$2:$C289=G$3)), IF(SUMPRODUCT(('Σύνοψη'!$F$2:$F289=$A56)*('Σύνοψη'!$C$2:$C289=G$3)*('Σύνοψη'!$G$2:$G289&lt;$B56)*('Σύνοψη'!$H$2:$H289&gt;$B56))&gt;0, CHAR(34), """") ), """")"),"Σχεδιασμός Σταδιοδρομίας, Διαχείριση Κτηνιατρείων &amp; Σχετική Νομοθεσία - 18:00 - 21:00 (Νέες Αίθουσες)")</f>
        <v>Σχεδιασμός Σταδιοδρομίας, Διαχείριση Κτηνιατρείων &amp; Σχετική Νομοθεσία - 18:00 - 21:00 (Νέες Αίθουσες)</v>
      </c>
      <c r="H56" s="67" t="str">
        <f ca="1">IFERROR(__xludf.DUMMYFUNCTION("IFERROR(IF(SUMPRODUCT(('Σύνοψη'!$F$2:$F289=$A56)*('Σύνοψη'!$C$2:$C289=H$3)*('Σύνοψη'!$G$2:$G289=$B56))&gt;0, TEXTJOIN(CHAR(10) &amp; ""-----------------------"" &amp; CHAR(10), TRUE, FILTER('Σύνοψη'!$E$2:$E289 &amp; "" - "" &amp; 'Σύνοψη'!$I$2:$I289 &amp; "" ("" &amp; 'Σύνοψη'!$J$2"&amp;":$J289 &amp; "")"", 'Σύνοψη'!$F$2:$F289=$A56, 'Σύνοψη'!$G$2:$G289=$B56, 'Σύνοψη'!$C$2:$C289=H$3)), IF(SUMPRODUCT(('Σύνοψη'!$F$2:$F289=$A56)*('Σύνοψη'!$C$2:$C289=H$3)*('Σύνοψη'!$G$2:$G289&lt;$B56)*('Σύνοψη'!$H$2:$H289&gt;$B56))&gt;0, CHAR(34), """") ), """")"),"")</f>
        <v/>
      </c>
      <c r="I56" s="3"/>
    </row>
    <row r="57" spans="1:9" s="103" customFormat="1" x14ac:dyDescent="0.25">
      <c r="A57" s="88">
        <f t="shared" si="3"/>
        <v>46268</v>
      </c>
      <c r="B57" s="89">
        <v>0.79166666666666663</v>
      </c>
      <c r="C57" s="67" t="str">
        <f ca="1">IFERROR(__xludf.DUMMYFUNCTION("IFERROR(IF(SUMPRODUCT(('Σύνοψη'!$F$2:$F289=$A57)*('Σύνοψη'!$C$2:$C289=C$3)*('Σύνοψη'!$G$2:$G289=$B57))&gt;0,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'Σύνοψη'!$C$2:$C289=C$3)), IF(SUMPRODUCT(('Σύνοψη'!$F$2:$F289=$A57)*('Σύνοψη'!$C$2:$C289=C$3)*('Σύνοψη'!$G$2:$G289&lt;$B57)*('Σύνοψη'!$H$2:$H289&gt;$B57))&gt;0, CHAR(34), """") ), """")"),"")</f>
        <v/>
      </c>
      <c r="D57" s="67" t="str">
        <f ca="1">IFERROR(__xludf.DUMMYFUNCTION("IFERROR(IF(SUMPRODUCT(('Σύνοψη'!$F$2:$F289=$A57)*('Σύνοψη'!$C$2:$C289=D$3)*('Σύνοψη'!$G$2:$G289=$B57))&gt;0,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'Σύνοψη'!$C$2:$C289=D$3)), IF(SUMPRODUCT(('Σύνοψη'!$F$2:$F289=$A57)*('Σύνοψη'!$C$2:$C289=D$3)*('Σύνοψη'!$G$2:$G289&lt;$B57)*('Σύνοψη'!$H$2:$H289&gt;$B57))&gt;0, CHAR(34), """") ), """")"),"")</f>
        <v/>
      </c>
      <c r="E57" s="67" t="str">
        <f ca="1">IFERROR(__xludf.DUMMYFUNCTION("IFERROR(IF(SUMPRODUCT(('Σύνοψη'!$F$2:$F289=$A57)*('Σύνοψη'!$C$2:$C289=E$3)*('Σύνοψη'!$G$2:$G289=$B57))&gt;0,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'Σύνοψη'!$C$2:$C289=E$3)), IF(SUMPRODUCT(('Σύνοψη'!$F$2:$F289=$A57)*('Σύνοψη'!$C$2:$C289=E$3)*('Σύνοψη'!$G$2:$G289&lt;$B57)*('Σύνοψη'!$H$2:$H289&gt;$B57))&gt;0, CHAR(34), """") ), """")"),"""")</f>
        <v>"</v>
      </c>
      <c r="F57" s="67" t="str">
        <f ca="1">IFERROR(__xludf.DUMMYFUNCTION("IFERROR(IF(SUMPRODUCT(('Σύνοψη'!$F$2:$F289=$A57)*('Σύνοψη'!$C$2:$C289=F$3)*('Σύνοψη'!$G$2:$G289=$B57))&gt;0,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'Σύνοψη'!$C$2:$C289=F$3)), IF(SUMPRODUCT(('Σύνοψη'!$F$2:$F289=$A57)*('Σύνοψη'!$C$2:$C289=F$3)*('Σύνοψη'!$G$2:$G289&lt;$B57)*('Σύνοψη'!$H$2:$H289&gt;$B57))&gt;0, CHAR(34), """") ), """")"),"")</f>
        <v/>
      </c>
      <c r="G57" s="67" t="str">
        <f ca="1">IFERROR(__xludf.DUMMYFUNCTION("IFERROR(IF(SUMPRODUCT(('Σύνοψη'!$F$2:$F289=$A57)*('Σύνοψη'!$C$2:$C289=G$3)*('Σύνοψη'!$G$2:$G289=$B57))&gt;0,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'Σύνοψη'!$C$2:$C289=G$3)), IF(SUMPRODUCT(('Σύνοψη'!$F$2:$F289=$A57)*('Σύνοψη'!$C$2:$C289=G$3)*('Σύνοψη'!$G$2:$G289&lt;$B57)*('Σύνοψη'!$H$2:$H289&gt;$B57))&gt;0, CHAR(34), """") ), """")"),"""")</f>
        <v>"</v>
      </c>
      <c r="H57" s="67" t="str">
        <f ca="1">IFERROR(__xludf.DUMMYFUNCTION("IFERROR(IF(SUMPRODUCT(('Σύνοψη'!$F$2:$F289=$A57)*('Σύνοψη'!$C$2:$C289=H$3)*('Σύνοψη'!$G$2:$G289=$B57))&gt;0, TEXTJOIN(CHAR(10) &amp; ""-----------------------"" &amp; CHAR(10), TRUE, FILTER('Σύνοψη'!$E$2:$E289 &amp; "" - "" &amp; 'Σύνοψη'!$I$2:$I289 &amp; "" ("" &amp; 'Σύνοψη'!$J$2"&amp;":$J289 &amp; "")"", 'Σύνοψη'!$F$2:$F289=$A57, 'Σύνοψη'!$G$2:$G289=$B57, 'Σύνοψη'!$C$2:$C289=H$3)), IF(SUMPRODUCT(('Σύνοψη'!$F$2:$F289=$A57)*('Σύνοψη'!$C$2:$C289=H$3)*('Σύνοψη'!$G$2:$G289&lt;$B57)*('Σύνοψη'!$H$2:$H289&gt;$B57))&gt;0, CHAR(34), """") ), """")"),"")</f>
        <v/>
      </c>
      <c r="I57" s="3"/>
    </row>
    <row r="58" spans="1:9" s="103" customFormat="1" x14ac:dyDescent="0.25">
      <c r="A58" s="88">
        <f t="shared" si="3"/>
        <v>46268</v>
      </c>
      <c r="B58" s="89">
        <v>0.83333333333333337</v>
      </c>
      <c r="C58" s="67" t="str">
        <f ca="1">IFERROR(__xludf.DUMMYFUNCTION("IFERROR(IF(SUMPRODUCT(('Σύνοψη'!$F$2:$F289=$A58)*('Σύνοψη'!$C$2:$C289=C$3)*('Σύνοψη'!$G$2:$G289=$B58))&gt;0,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'Σύνοψη'!$C$2:$C289=C$3)), IF(SUMPRODUCT(('Σύνοψη'!$F$2:$F289=$A58)*('Σύνοψη'!$C$2:$C289=C$3)*('Σύνοψη'!$G$2:$G289&lt;$B58)*('Σύνοψη'!$H$2:$H289&gt;$B58))&gt;0, CHAR(34), """") ), """")"),"")</f>
        <v/>
      </c>
      <c r="D58" s="67" t="str">
        <f ca="1">IFERROR(__xludf.DUMMYFUNCTION("IFERROR(IF(SUMPRODUCT(('Σύνοψη'!$F$2:$F289=$A58)*('Σύνοψη'!$C$2:$C289=D$3)*('Σύνοψη'!$G$2:$G289=$B58))&gt;0,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'Σύνοψη'!$C$2:$C289=D$3)), IF(SUMPRODUCT(('Σύνοψη'!$F$2:$F289=$A58)*('Σύνοψη'!$C$2:$C289=D$3)*('Σύνοψη'!$G$2:$G289&lt;$B58)*('Σύνοψη'!$H$2:$H289&gt;$B58))&gt;0, CHAR(34), """") ), """")"),"")</f>
        <v/>
      </c>
      <c r="E58" s="67" t="str">
        <f ca="1">IFERROR(__xludf.DUMMYFUNCTION("IFERROR(IF(SUMPRODUCT(('Σύνοψη'!$F$2:$F289=$A58)*('Σύνοψη'!$C$2:$C289=E$3)*('Σύνοψη'!$G$2:$G289=$B58))&gt;0,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'Σύνοψη'!$C$2:$C289=E$3)), IF(SUMPRODUCT(('Σύνοψη'!$F$2:$F289=$A58)*('Σύνοψη'!$C$2:$C289=E$3)*('Σύνοψη'!$G$2:$G289&lt;$B58)*('Σύνοψη'!$H$2:$H289&gt;$B58))&gt;0, CHAR(34), """") ), """")"),"""")</f>
        <v>"</v>
      </c>
      <c r="F58" s="67" t="str">
        <f ca="1">IFERROR(__xludf.DUMMYFUNCTION("IFERROR(IF(SUMPRODUCT(('Σύνοψη'!$F$2:$F289=$A58)*('Σύνοψη'!$C$2:$C289=F$3)*('Σύνοψη'!$G$2:$G289=$B58))&gt;0,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'Σύνοψη'!$C$2:$C289=F$3)), IF(SUMPRODUCT(('Σύνοψη'!$F$2:$F289=$A58)*('Σύνοψη'!$C$2:$C289=F$3)*('Σύνοψη'!$G$2:$G289&lt;$B58)*('Σύνοψη'!$H$2:$H289&gt;$B58))&gt;0, CHAR(34), """") ), """")"),"")</f>
        <v/>
      </c>
      <c r="G58" s="67" t="str">
        <f ca="1">IFERROR(__xludf.DUMMYFUNCTION("IFERROR(IF(SUMPRODUCT(('Σύνοψη'!$F$2:$F289=$A58)*('Σύνοψη'!$C$2:$C289=G$3)*('Σύνοψη'!$G$2:$G289=$B58))&gt;0,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'Σύνοψη'!$C$2:$C289=G$3)), IF(SUMPRODUCT(('Σύνοψη'!$F$2:$F289=$A58)*('Σύνοψη'!$C$2:$C289=G$3)*('Σύνοψη'!$G$2:$G289&lt;$B58)*('Σύνοψη'!$H$2:$H289&gt;$B58))&gt;0, CHAR(34), """") ), """")"),"""")</f>
        <v>"</v>
      </c>
      <c r="H58" s="67" t="str">
        <f ca="1">IFERROR(__xludf.DUMMYFUNCTION("IFERROR(IF(SUMPRODUCT(('Σύνοψη'!$F$2:$F289=$A58)*('Σύνοψη'!$C$2:$C289=H$3)*('Σύνοψη'!$G$2:$G289=$B58))&gt;0, TEXTJOIN(CHAR(10) &amp; ""-----------------------"" &amp; CHAR(10), TRUE, FILTER('Σύνοψη'!$E$2:$E289 &amp; "" - "" &amp; 'Σύνοψη'!$I$2:$I289 &amp; "" ("" &amp; 'Σύνοψη'!$J$2"&amp;":$J289 &amp; "")"", 'Σύνοψη'!$F$2:$F289=$A58, 'Σύνοψη'!$G$2:$G289=$B58, 'Σύνοψη'!$C$2:$C289=H$3)), IF(SUMPRODUCT(('Σύνοψη'!$F$2:$F289=$A58)*('Σύνοψη'!$C$2:$C289=H$3)*('Σύνοψη'!$G$2:$G289&lt;$B58)*('Σύνοψη'!$H$2:$H289&gt;$B58))&gt;0, CHAR(34), """") ), """")"),"")</f>
        <v/>
      </c>
      <c r="I58" s="3"/>
    </row>
    <row r="59" spans="1:9" s="104" customFormat="1" x14ac:dyDescent="0.25">
      <c r="A59" s="90">
        <f t="shared" si="3"/>
        <v>46268</v>
      </c>
      <c r="B59" s="91">
        <v>0.875</v>
      </c>
      <c r="C59" s="78" t="str">
        <f ca="1">IFERROR(__xludf.DUMMYFUNCTION("IFERROR(IF(SUMPRODUCT(('Σύνοψη'!$F$2:$F289=$A59)*('Σύνοψη'!$C$2:$C289=C$3)*('Σύνοψη'!$G$2:$G289=$B59))&gt;0,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'Σύνοψη'!$C$2:$C289=C$3)), IF(SUMPRODUCT(('Σύνοψη'!$F$2:$F289=$A59)*('Σύνοψη'!$C$2:$C289=C$3)*('Σύνοψη'!$G$2:$G289&lt;$B59)*('Σύνοψη'!$H$2:$H289&gt;$B59))&gt;0, CHAR(34), """") ), """")"),"")</f>
        <v/>
      </c>
      <c r="D59" s="78" t="str">
        <f ca="1">IFERROR(__xludf.DUMMYFUNCTION("IFERROR(IF(SUMPRODUCT(('Σύνοψη'!$F$2:$F289=$A59)*('Σύνοψη'!$C$2:$C289=D$3)*('Σύνοψη'!$G$2:$G289=$B59))&gt;0,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'Σύνοψη'!$C$2:$C289=D$3)), IF(SUMPRODUCT(('Σύνοψη'!$F$2:$F289=$A59)*('Σύνοψη'!$C$2:$C289=D$3)*('Σύνοψη'!$G$2:$G289&lt;$B59)*('Σύνοψη'!$H$2:$H289&gt;$B59))&gt;0, CHAR(34), """") ), """")"),"")</f>
        <v/>
      </c>
      <c r="E59" s="78" t="str">
        <f ca="1">IFERROR(__xludf.DUMMYFUNCTION("IFERROR(IF(SUMPRODUCT(('Σύνοψη'!$F$2:$F289=$A59)*('Σύνοψη'!$C$2:$C289=E$3)*('Σύνοψη'!$G$2:$G289=$B59))&gt;0,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'Σύνοψη'!$C$2:$C289=E$3)), IF(SUMPRODUCT(('Σύνοψη'!$F$2:$F289=$A59)*('Σύνοψη'!$C$2:$C289=E$3)*('Σύνοψη'!$G$2:$G289&lt;$B59)*('Σύνοψη'!$H$2:$H289&gt;$B59))&gt;0, CHAR(34), """") ), """")"),"")</f>
        <v/>
      </c>
      <c r="F59" s="78" t="str">
        <f ca="1">IFERROR(__xludf.DUMMYFUNCTION("IFERROR(IF(SUMPRODUCT(('Σύνοψη'!$F$2:$F289=$A59)*('Σύνοψη'!$C$2:$C289=F$3)*('Σύνοψη'!$G$2:$G289=$B59))&gt;0,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'Σύνοψη'!$C$2:$C289=F$3)), IF(SUMPRODUCT(('Σύνοψη'!$F$2:$F289=$A59)*('Σύνοψη'!$C$2:$C289=F$3)*('Σύνοψη'!$G$2:$G289&lt;$B59)*('Σύνοψη'!$H$2:$H289&gt;$B59))&gt;0, CHAR(34), """") ), """")"),"")</f>
        <v/>
      </c>
      <c r="G59" s="78" t="str">
        <f ca="1">IFERROR(__xludf.DUMMYFUNCTION("IFERROR(IF(SUMPRODUCT(('Σύνοψη'!$F$2:$F289=$A59)*('Σύνοψη'!$C$2:$C289=G$3)*('Σύνοψη'!$G$2:$G289=$B59))&gt;0,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'Σύνοψη'!$C$2:$C289=G$3)), IF(SUMPRODUCT(('Σύνοψη'!$F$2:$F289=$A59)*('Σύνοψη'!$C$2:$C289=G$3)*('Σύνοψη'!$G$2:$G289&lt;$B59)*('Σύνοψη'!$H$2:$H289&gt;$B59))&gt;0, CHAR(34), """") ), """")"),"")</f>
        <v/>
      </c>
      <c r="H59" s="78" t="str">
        <f ca="1">IFERROR(__xludf.DUMMYFUNCTION("IFERROR(IF(SUMPRODUCT(('Σύνοψη'!$F$2:$F289=$A59)*('Σύνοψη'!$C$2:$C289=H$3)*('Σύνοψη'!$G$2:$G289=$B59))&gt;0, TEXTJOIN(CHAR(10) &amp; ""-----------------------"" &amp; CHAR(10), TRUE, FILTER('Σύνοψη'!$E$2:$E289 &amp; "" - "" &amp; 'Σύνοψη'!$I$2:$I289 &amp; "" ("" &amp; 'Σύνοψη'!$J$2"&amp;":$J289 &amp; "")"", 'Σύνοψη'!$F$2:$F289=$A59, 'Σύνοψη'!$G$2:$G289=$B59, 'Σύνοψη'!$C$2:$C289=H$3)), IF(SUMPRODUCT(('Σύνοψη'!$F$2:$F289=$A59)*('Σύνοψη'!$C$2:$C289=H$3)*('Σύνοψη'!$G$2:$G289&lt;$B59)*('Σύνοψη'!$H$2:$H289&gt;$B59))&gt;0, CHAR(34), """") ), """")"),"")</f>
        <v/>
      </c>
      <c r="I59" s="79"/>
    </row>
    <row r="60" spans="1:9" s="102" customFormat="1" x14ac:dyDescent="0.25">
      <c r="A60" s="86">
        <f>$D$1+4</f>
        <v>46269</v>
      </c>
      <c r="B60" s="87">
        <v>0.33333333333333331</v>
      </c>
      <c r="C60" s="76" t="str">
        <f ca="1">IFERROR(__xludf.DUMMYFUNCTION("IFERROR(IF(SUMPRODUCT(('Σύνοψη'!$F$2:$F289=$A60)*('Σύνοψη'!$C$2:$C289=C$3)*('Σύνοψη'!$G$2:$G289=$B60))&gt;0,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'Σύνοψη'!$C$2:$C289=C$3)), IF(SUMPRODUCT(('Σύνοψη'!$F$2:$F289=$A60)*('Σύνοψη'!$C$2:$C289=C$3)*('Σύνοψη'!$G$2:$G289&lt;$B60)*('Σύνοψη'!$H$2:$H289&gt;$B60))&gt;0, CHAR(34), """") ), """")"),"")</f>
        <v/>
      </c>
      <c r="D60" s="76" t="str">
        <f ca="1">IFERROR(__xludf.DUMMYFUNCTION("IFERROR(IF(SUMPRODUCT(('Σύνοψη'!$F$2:$F289=$A60)*('Σύνοψη'!$C$2:$C289=D$3)*('Σύνοψη'!$G$2:$G289=$B60))&gt;0,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'Σύνοψη'!$C$2:$C289=D$3)), IF(SUMPRODUCT(('Σύνοψη'!$F$2:$F289=$A60)*('Σύνοψη'!$C$2:$C289=D$3)*('Σύνοψη'!$G$2:$G289&lt;$B60)*('Σύνοψη'!$H$2:$H289&gt;$B60))&gt;0, CHAR(34), """") ), """")"),"")</f>
        <v/>
      </c>
      <c r="E60" s="76" t="str">
        <f ca="1">IFERROR(__xludf.DUMMYFUNCTION("IFERROR(IF(SUMPRODUCT(('Σύνοψη'!$F$2:$F289=$A60)*('Σύνοψη'!$C$2:$C289=E$3)*('Σύνοψη'!$G$2:$G289=$B60))&gt;0,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'Σύνοψη'!$C$2:$C289=E$3)), IF(SUMPRODUCT(('Σύνοψη'!$F$2:$F289=$A60)*('Σύνοψη'!$C$2:$C289=E$3)*('Σύνοψη'!$G$2:$G289&lt;$B60)*('Σύνοψη'!$H$2:$H289&gt;$B60))&gt;0, CHAR(34), """") ), """")"),"")</f>
        <v/>
      </c>
      <c r="F60" s="76" t="str">
        <f ca="1">IFERROR(__xludf.DUMMYFUNCTION("IFERROR(IF(SUMPRODUCT(('Σύνοψη'!$F$2:$F289=$A60)*('Σύνοψη'!$C$2:$C289=F$3)*('Σύνοψη'!$G$2:$G289=$B60))&gt;0,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'Σύνοψη'!$C$2:$C289=F$3)), IF(SUMPRODUCT(('Σύνοψη'!$F$2:$F289=$A60)*('Σύνοψη'!$C$2:$C289=F$3)*('Σύνοψη'!$G$2:$G289&lt;$B60)*('Σύνοψη'!$H$2:$H289&gt;$B60))&gt;0, CHAR(34), """") ), """")"),"")</f>
        <v/>
      </c>
      <c r="G60" s="76" t="str">
        <f ca="1">IFERROR(__xludf.DUMMYFUNCTION("IFERROR(IF(SUMPRODUCT(('Σύνοψη'!$F$2:$F289=$A60)*('Σύνοψη'!$C$2:$C289=G$3)*('Σύνοψη'!$G$2:$G289=$B60))&gt;0,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'Σύνοψη'!$C$2:$C289=G$3)), IF(SUMPRODUCT(('Σύνοψη'!$F$2:$F289=$A60)*('Σύνοψη'!$C$2:$C289=G$3)*('Σύνοψη'!$G$2:$G289&lt;$B60)*('Σύνοψη'!$H$2:$H289&gt;$B60))&gt;0, CHAR(34), """") ), """")"),"")</f>
        <v/>
      </c>
      <c r="H60" s="76" t="str">
        <f ca="1">IFERROR(__xludf.DUMMYFUNCTION("IFERROR(IF(SUMPRODUCT(('Σύνοψη'!$F$2:$F289=$A60)*('Σύνοψη'!$C$2:$C289=H$3)*('Σύνοψη'!$G$2:$G289=$B60))&gt;0, TEXTJOIN(CHAR(10) &amp; ""-----------------------"" &amp; CHAR(10), TRUE, FILTER('Σύνοψη'!$E$2:$E289 &amp; "" - "" &amp; 'Σύνοψη'!$I$2:$I289 &amp; "" ("" &amp; 'Σύνοψη'!$J$2"&amp;":$J289 &amp; "")"", 'Σύνοψη'!$F$2:$F289=$A60, 'Σύνοψη'!$G$2:$G289=$B60, 'Σύνοψη'!$C$2:$C289=H$3)), IF(SUMPRODUCT(('Σύνοψη'!$F$2:$F289=$A60)*('Σύνοψη'!$C$2:$C289=H$3)*('Σύνοψη'!$G$2:$G289&lt;$B60)*('Σύνοψη'!$H$2:$H289&gt;$B60))&gt;0, CHAR(34), """") ), """")"),"")</f>
        <v/>
      </c>
      <c r="I60" s="77"/>
    </row>
    <row r="61" spans="1:9" s="103" customFormat="1" ht="105" x14ac:dyDescent="0.25">
      <c r="A61" s="88">
        <f t="shared" ref="A61:A73" si="4">$A$60</f>
        <v>46269</v>
      </c>
      <c r="B61" s="89">
        <v>0.375</v>
      </c>
      <c r="C61" s="67" t="str">
        <f ca="1">IFERROR(__xludf.DUMMYFUNCTION("IFERROR(IF(SUMPRODUCT(('Σύνοψη'!$F$2:$F289=$A61)*('Σύνοψη'!$C$2:$C289=C$3)*('Σύνοψη'!$G$2:$G289=$B61))&gt;0,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'Σύνοψη'!$C$2:$C289=C$3)), IF(SUMPRODUCT(('Σύνοψη'!$F$2:$F289=$A61)*('Σύνοψη'!$C$2:$C289=C$3)*('Σύνοψη'!$G$2:$G289&lt;$B61)*('Σύνοψη'!$H$2:$H289&gt;$B61))&gt;0, CHAR(34), """") ), """")"),"Βιοχημεία του Μεταβολισμού - 09:00 - 11:00 (Νέες Αίθουσες)")</f>
        <v>Βιοχημεία του Μεταβολισμού - 09:00 - 11:00 (Νέες Αίθουσες)</v>
      </c>
      <c r="D61" s="67" t="str">
        <f ca="1">IFERROR(__xludf.DUMMYFUNCTION("IFERROR(IF(SUMPRODUCT(('Σύνοψη'!$F$2:$F289=$A61)*('Σύνοψη'!$C$2:$C289=D$3)*('Σύνοψη'!$G$2:$G289=$B61))&gt;0,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'Σύνοψη'!$C$2:$C289=D$3)), IF(SUMPRODUCT(('Σύνοψη'!$F$2:$F289=$A61)*('Σύνοψη'!$C$2:$C289=D$3)*('Σύνοψη'!$G$2:$G289&lt;$B61)*('Σύνοψη'!$H$2:$H289&gt;$B61))&gt;0, CHAR(34), """") ), """")"),"")</f>
        <v/>
      </c>
      <c r="E61" s="67" t="str">
        <f ca="1">IFERROR(__xludf.DUMMYFUNCTION("IFERROR(IF(SUMPRODUCT(('Σύνοψη'!$F$2:$F289=$A61)*('Σύνοψη'!$C$2:$C289=E$3)*('Σύνοψη'!$G$2:$G289=$B61))&gt;0,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'Σύνοψη'!$C$2:$C289=E$3)), IF(SUMPRODUCT(('Σύνοψη'!$F$2:$F289=$A61)*('Σύνοψη'!$C$2:$C289=E$3)*('Σύνοψη'!$G$2:$G289&lt;$B61)*('Σύνοψη'!$H$2:$H289&gt;$B61))&gt;0, CHAR(34), """") ), """")"),"")</f>
        <v/>
      </c>
      <c r="F61" s="67" t="str">
        <f ca="1">IFERROR(__xludf.DUMMYFUNCTION("IFERROR(IF(SUMPRODUCT(('Σύνοψη'!$F$2:$F289=$A61)*('Σύνοψη'!$C$2:$C289=F$3)*('Σύνοψη'!$G$2:$G289=$B61))&gt;0,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'Σύνοψη'!$C$2:$C289=F$3)), IF(SUMPRODUCT(('Σύνοψη'!$F$2:$F289=$A61)*('Σύνοψη'!$C$2:$C289=F$3)*('Σύνοψη'!$G$2:$G289&lt;$B61)*('Σύνοψη'!$H$2:$H289&gt;$B61))&gt;0, CHAR(34), """") ), """")"),"Μαιευτική &amp; Αναπαραγωγή ΙΙΙ - 09:00 - 12:00 (Αμφιθέατρα)")</f>
        <v>Μαιευτική &amp; Αναπαραγωγή ΙΙΙ - 09:00 - 12:00 (Αμφιθέατρα)</v>
      </c>
      <c r="G61" s="67" t="str">
        <f ca="1">IFERROR(__xludf.DUMMYFUNCTION("IFERROR(IF(SUMPRODUCT(('Σύνοψη'!$F$2:$F289=$A61)*('Σύνοψη'!$C$2:$C289=G$3)*('Σύνοψη'!$G$2:$G289=$B61))&gt;0,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'Σύνοψη'!$C$2:$C289=G$3)), IF(SUMPRODUCT(('Σύνοψη'!$F$2:$F289=$A61)*('Σύνοψη'!$C$2:$C289=G$3)*('Σύνοψη'!$G$2:$G289&lt;$B61)*('Σύνοψη'!$H$2:$H289&gt;$B61))&gt;0, CHAR(34), """") ), """")"),"Πρακτική Άσκηση στην Παθολογία Ζώων Συντροφιάς Ι (3η ημέρα) - 09:00 - 15:00 (Παθολογική Κλινική)
-----------------------
Πρακτική Άσκηση στην Παθολογία Ζώων Συντροφιάς ΙΙ (3η ημέρα) - 09:00 - 15:00 (Παθολογική Κλινική)")</f>
        <v>Πρακτική Άσκηση στην Παθολογία Ζώων Συντροφιάς Ι (3η ημέρα) - 09:00 - 15:00 (Παθολογική Κλινική)
-----------------------
Πρακτική Άσκηση στην Παθολογία Ζώων Συντροφιάς ΙΙ (3η ημέρα) - 09:00 - 15:00 (Παθολογική Κλινική)</v>
      </c>
      <c r="H61" s="67" t="str">
        <f ca="1">IFERROR(__xludf.DUMMYFUNCTION("IFERROR(IF(SUMPRODUCT(('Σύνοψη'!$F$2:$F289=$A61)*('Σύνοψη'!$C$2:$C289=H$3)*('Σύνοψη'!$G$2:$G289=$B61))&gt;0, TEXTJOIN(CHAR(10) &amp; ""-----------------------"" &amp; CHAR(10), TRUE, FILTER('Σύνοψη'!$E$2:$E289 &amp; "" - "" &amp; 'Σύνοψη'!$I$2:$I289 &amp; "" ("" &amp; 'Σύνοψη'!$J$2"&amp;":$J289 &amp; "")"", 'Σύνοψη'!$F$2:$F289=$A61, 'Σύνοψη'!$G$2:$G289=$B61, 'Σύνοψη'!$C$2:$C289=H$3)), IF(SUMPRODUCT(('Σύνοψη'!$F$2:$F289=$A61)*('Σύνοψη'!$C$2:$C289=H$3)*('Σύνοψη'!$G$2:$G289&lt;$B61)*('Σύνοψη'!$H$2:$H289&gt;$B61))&gt;0, CHAR(34), """") ), """")"),"Βιοχημεία (ΠΠΣ) - 09:00 - 11:00 (Νέες Αίθουσες)
-----------------------
Ειδικη Παθολογία ΖΣ V (ΠΠΣ) (Πρακτικά) (3η ημέρα) - 09:00 - 15:00 (Παθολογική Κλινική)")</f>
        <v>Βιοχημεία (ΠΠΣ) - 09:00 - 11:00 (Νέες Αίθουσες)
-----------------------
Ειδικη Παθολογία ΖΣ V (ΠΠΣ) (Πρακτικά) (3η ημέρα) - 09:00 - 15:00 (Παθολογική Κλινική)</v>
      </c>
      <c r="I61" s="3"/>
    </row>
    <row r="62" spans="1:9" s="103" customFormat="1" x14ac:dyDescent="0.25">
      <c r="A62" s="88">
        <f t="shared" si="4"/>
        <v>46269</v>
      </c>
      <c r="B62" s="89">
        <v>0.41666666666666669</v>
      </c>
      <c r="C62" s="67" t="str">
        <f ca="1">IFERROR(__xludf.DUMMYFUNCTION("IFERROR(IF(SUMPRODUCT(('Σύνοψη'!$F$2:$F289=$A62)*('Σύνοψη'!$C$2:$C289=C$3)*('Σύνοψη'!$G$2:$G289=$B62))&gt;0,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'Σύνοψη'!$C$2:$C289=C$3)), IF(SUMPRODUCT(('Σύνοψη'!$F$2:$F289=$A62)*('Σύνοψη'!$C$2:$C289=C$3)*('Σύνοψη'!$G$2:$G289&lt;$B62)*('Σύνοψη'!$H$2:$H289&gt;$B62))&gt;0, CHAR(34), """") ), """")"),"""")</f>
        <v>"</v>
      </c>
      <c r="D62" s="67" t="str">
        <f ca="1">IFERROR(__xludf.DUMMYFUNCTION("IFERROR(IF(SUMPRODUCT(('Σύνοψη'!$F$2:$F289=$A62)*('Σύνοψη'!$C$2:$C289=D$3)*('Σύνοψη'!$G$2:$G289=$B62))&gt;0,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'Σύνοψη'!$C$2:$C289=D$3)), IF(SUMPRODUCT(('Σύνοψη'!$F$2:$F289=$A62)*('Σύνοψη'!$C$2:$C289=D$3)*('Σύνοψη'!$G$2:$G289&lt;$B62)*('Σύνοψη'!$H$2:$H289&gt;$B62))&gt;0, CHAR(34), """") ), """")"),"")</f>
        <v/>
      </c>
      <c r="E62" s="67" t="str">
        <f ca="1">IFERROR(__xludf.DUMMYFUNCTION("IFERROR(IF(SUMPRODUCT(('Σύνοψη'!$F$2:$F289=$A62)*('Σύνοψη'!$C$2:$C289=E$3)*('Σύνοψη'!$G$2:$G289=$B62))&gt;0,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'Σύνοψη'!$C$2:$C289=E$3)), IF(SUMPRODUCT(('Σύνοψη'!$F$2:$F289=$A62)*('Σύνοψη'!$C$2:$C289=E$3)*('Σύνοψη'!$G$2:$G289&lt;$B62)*('Σύνοψη'!$H$2:$H289&gt;$B62))&gt;0, CHAR(34), """") ), """")"),"")</f>
        <v/>
      </c>
      <c r="F62" s="67" t="str">
        <f ca="1">IFERROR(__xludf.DUMMYFUNCTION("IFERROR(IF(SUMPRODUCT(('Σύνοψη'!$F$2:$F289=$A62)*('Σύνοψη'!$C$2:$C289=F$3)*('Σύνοψη'!$G$2:$G289=$B62))&gt;0,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'Σύνοψη'!$C$2:$C289=F$3)), IF(SUMPRODUCT(('Σύνοψη'!$F$2:$F289=$A62)*('Σύνοψη'!$C$2:$C289=F$3)*('Σύνοψη'!$G$2:$G289&lt;$B62)*('Σύνοψη'!$H$2:$H289&gt;$B62))&gt;0, CHAR(34), """") ), """")"),"""")</f>
        <v>"</v>
      </c>
      <c r="G62" s="67" t="str">
        <f ca="1">IFERROR(__xludf.DUMMYFUNCTION("IFERROR(IF(SUMPRODUCT(('Σύνοψη'!$F$2:$F289=$A62)*('Σύνοψη'!$C$2:$C289=G$3)*('Σύνοψη'!$G$2:$G289=$B62))&gt;0,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'Σύνοψη'!$C$2:$C289=G$3)), IF(SUMPRODUCT(('Σύνοψη'!$F$2:$F289=$A62)*('Σύνοψη'!$C$2:$C289=G$3)*('Σύνοψη'!$G$2:$G289&lt;$B62)*('Σύνοψη'!$H$2:$H289&gt;$B62))&gt;0, CHAR(34), """") ), """")"),"""")</f>
        <v>"</v>
      </c>
      <c r="H62" s="67" t="str">
        <f ca="1">IFERROR(__xludf.DUMMYFUNCTION("IFERROR(IF(SUMPRODUCT(('Σύνοψη'!$F$2:$F289=$A62)*('Σύνοψη'!$C$2:$C289=H$3)*('Σύνοψη'!$G$2:$G289=$B62))&gt;0, TEXTJOIN(CHAR(10) &amp; ""-----------------------"" &amp; CHAR(10), TRUE, FILTER('Σύνοψη'!$E$2:$E289 &amp; "" - "" &amp; 'Σύνοψη'!$I$2:$I289 &amp; "" ("" &amp; 'Σύνοψη'!$J$2"&amp;":$J289 &amp; "")"", 'Σύνοψη'!$F$2:$F289=$A62, 'Σύνοψη'!$G$2:$G289=$B62, 'Σύνοψη'!$C$2:$C289=H$3)), IF(SUMPRODUCT(('Σύνοψη'!$F$2:$F289=$A62)*('Σύνοψη'!$C$2:$C289=H$3)*('Σύνοψη'!$G$2:$G289&lt;$B62)*('Σύνοψη'!$H$2:$H289&gt;$B62))&gt;0, CHAR(34), """") ), """")"),"""")</f>
        <v>"</v>
      </c>
      <c r="I62" s="3"/>
    </row>
    <row r="63" spans="1:9" s="103" customFormat="1" x14ac:dyDescent="0.25">
      <c r="A63" s="88">
        <f t="shared" si="4"/>
        <v>46269</v>
      </c>
      <c r="B63" s="89">
        <v>0.45833333333333331</v>
      </c>
      <c r="C63" s="67" t="str">
        <f ca="1">IFERROR(__xludf.DUMMYFUNCTION("IFERROR(IF(SUMPRODUCT(('Σύνοψη'!$F$2:$F289=$A63)*('Σύνοψη'!$C$2:$C289=C$3)*('Σύνοψη'!$G$2:$G289=$B63))&gt;0,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'Σύνοψη'!$C$2:$C289=C$3)), IF(SUMPRODUCT(('Σύνοψη'!$F$2:$F289=$A63)*('Σύνοψη'!$C$2:$C289=C$3)*('Σύνοψη'!$G$2:$G289&lt;$B63)*('Σύνοψη'!$H$2:$H289&gt;$B63))&gt;0, CHAR(34), """") ), """")"),"")</f>
        <v/>
      </c>
      <c r="D63" s="67" t="str">
        <f ca="1">IFERROR(__xludf.DUMMYFUNCTION("IFERROR(IF(SUMPRODUCT(('Σύνοψη'!$F$2:$F289=$A63)*('Σύνοψη'!$C$2:$C289=D$3)*('Σύνοψη'!$G$2:$G289=$B63))&gt;0,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'Σύνοψη'!$C$2:$C289=D$3)), IF(SUMPRODUCT(('Σύνοψη'!$F$2:$F289=$A63)*('Σύνοψη'!$C$2:$C289=D$3)*('Σύνοψη'!$G$2:$G289&lt;$B63)*('Σύνοψη'!$H$2:$H289&gt;$B63))&gt;0, CHAR(34), """") ), """")"),"")</f>
        <v/>
      </c>
      <c r="E63" s="67" t="str">
        <f ca="1">IFERROR(__xludf.DUMMYFUNCTION("IFERROR(IF(SUMPRODUCT(('Σύνοψη'!$F$2:$F289=$A63)*('Σύνοψη'!$C$2:$C289=E$3)*('Σύνοψη'!$G$2:$G289=$B63))&gt;0,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'Σύνοψη'!$C$2:$C289=E$3)), IF(SUMPRODUCT(('Σύνοψη'!$F$2:$F289=$A63)*('Σύνοψη'!$C$2:$C289=E$3)*('Σύνοψη'!$G$2:$G289&lt;$B63)*('Σύνοψη'!$H$2:$H289&gt;$B63))&gt;0, CHAR(34), """") ), """")"),"")</f>
        <v/>
      </c>
      <c r="F63" s="67" t="str">
        <f ca="1">IFERROR(__xludf.DUMMYFUNCTION("IFERROR(IF(SUMPRODUCT(('Σύνοψη'!$F$2:$F289=$A63)*('Σύνοψη'!$C$2:$C289=F$3)*('Σύνοψη'!$G$2:$G289=$B63))&gt;0,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'Σύνοψη'!$C$2:$C289=F$3)), IF(SUMPRODUCT(('Σύνοψη'!$F$2:$F289=$A63)*('Σύνοψη'!$C$2:$C289=F$3)*('Σύνοψη'!$G$2:$G289&lt;$B63)*('Σύνοψη'!$H$2:$H289&gt;$B63))&gt;0, CHAR(34), """") ), """")"),"""")</f>
        <v>"</v>
      </c>
      <c r="G63" s="67" t="str">
        <f ca="1">IFERROR(__xludf.DUMMYFUNCTION("IFERROR(IF(SUMPRODUCT(('Σύνοψη'!$F$2:$F289=$A63)*('Σύνοψη'!$C$2:$C289=G$3)*('Σύνοψη'!$G$2:$G289=$B63))&gt;0,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'Σύνοψη'!$C$2:$C289=G$3)), IF(SUMPRODUCT(('Σύνοψη'!$F$2:$F289=$A63)*('Σύνοψη'!$C$2:$C289=G$3)*('Σύνοψη'!$G$2:$G289&lt;$B63)*('Σύνοψη'!$H$2:$H289&gt;$B63))&gt;0, CHAR(34), """") ), """")"),"""")</f>
        <v>"</v>
      </c>
      <c r="H63" s="67" t="str">
        <f ca="1">IFERROR(__xludf.DUMMYFUNCTION("IFERROR(IF(SUMPRODUCT(('Σύνοψη'!$F$2:$F289=$A63)*('Σύνοψη'!$C$2:$C289=H$3)*('Σύνοψη'!$G$2:$G289=$B63))&gt;0, TEXTJOIN(CHAR(10) &amp; ""-----------------------"" &amp; CHAR(10), TRUE, FILTER('Σύνοψη'!$E$2:$E289 &amp; "" - "" &amp; 'Σύνοψη'!$I$2:$I289 &amp; "" ("" &amp; 'Σύνοψη'!$J$2"&amp;":$J289 &amp; "")"", 'Σύνοψη'!$F$2:$F289=$A63, 'Σύνοψη'!$G$2:$G289=$B63, 'Σύνοψη'!$C$2:$C289=H$3)), IF(SUMPRODUCT(('Σύνοψη'!$F$2:$F289=$A63)*('Σύνοψη'!$C$2:$C289=H$3)*('Σύνοψη'!$G$2:$G289&lt;$B63)*('Σύνοψη'!$H$2:$H289&gt;$B63))&gt;0, CHAR(34), """") ), """")"),"""")</f>
        <v>"</v>
      </c>
      <c r="I63" s="3"/>
    </row>
    <row r="64" spans="1:9" s="103" customFormat="1" ht="45" x14ac:dyDescent="0.25">
      <c r="A64" s="88">
        <f t="shared" si="4"/>
        <v>46269</v>
      </c>
      <c r="B64" s="89">
        <v>0.5</v>
      </c>
      <c r="C64" s="67" t="str">
        <f ca="1">IFERROR(__xludf.DUMMYFUNCTION("IFERROR(IF(SUMPRODUCT(('Σύνοψη'!$F$2:$F289=$A64)*('Σύνοψη'!$C$2:$C289=C$3)*('Σύνοψη'!$G$2:$G289=$B64))&gt;0,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'Σύνοψη'!$C$2:$C289=C$3)), IF(SUMPRODUCT(('Σύνοψη'!$F$2:$F289=$A64)*('Σύνοψη'!$C$2:$C289=C$3)*('Σύνοψη'!$G$2:$G289&lt;$B64)*('Σύνοψη'!$H$2:$H289&gt;$B64))&gt;0, CHAR(34), """") ), """")"),"")</f>
        <v/>
      </c>
      <c r="D64" s="67" t="str">
        <f ca="1">IFERROR(__xludf.DUMMYFUNCTION("IFERROR(IF(SUMPRODUCT(('Σύνοψη'!$F$2:$F289=$A64)*('Σύνοψη'!$C$2:$C289=D$3)*('Σύνοψη'!$G$2:$G289=$B64))&gt;0,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'Σύνοψη'!$C$2:$C289=D$3)), IF(SUMPRODUCT(('Σύνοψη'!$F$2:$F289=$A64)*('Σύνοψη'!$C$2:$C289=D$3)*('Σύνοψη'!$G$2:$G289&lt;$B64)*('Σύνοψη'!$H$2:$H289&gt;$B64))&gt;0, CHAR(34), """") ), """")"),"Ανοσολογία - 12:00 - 15:00 (Νέες Αίθουσες)")</f>
        <v>Ανοσολογία - 12:00 - 15:00 (Νέες Αίθουσες)</v>
      </c>
      <c r="E64" s="67" t="str">
        <f ca="1">IFERROR(__xludf.DUMMYFUNCTION("IFERROR(IF(SUMPRODUCT(('Σύνοψη'!$F$2:$F289=$A64)*('Σύνοψη'!$C$2:$C289=E$3)*('Σύνοψη'!$G$2:$G289=$B64))&gt;0,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'Σύνοψη'!$C$2:$C289=E$3)), IF(SUMPRODUCT(('Σύνοψη'!$F$2:$F289=$A64)*('Σύνοψη'!$C$2:$C289=E$3)*('Σύνοψη'!$G$2:$G289&lt;$B64)*('Σύνοψη'!$H$2:$H289&gt;$B64))&gt;0, CHAR(34), """") ), """")"),"")</f>
        <v/>
      </c>
      <c r="F64" s="67" t="str">
        <f ca="1">IFERROR(__xludf.DUMMYFUNCTION("IFERROR(IF(SUMPRODUCT(('Σύνοψη'!$F$2:$F289=$A64)*('Σύνοψη'!$C$2:$C289=F$3)*('Σύνοψη'!$G$2:$G289=$B64))&gt;0,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'Σύνοψη'!$C$2:$C289=F$3)), IF(SUMPRODUCT(('Σύνοψη'!$F$2:$F289=$A64)*('Σύνοψη'!$C$2:$C289=F$3)*('Σύνοψη'!$G$2:$G289&lt;$B64)*('Σύνοψη'!$H$2:$H289&gt;$B64))&gt;0, CHAR(34), """") ), """")"),"Κλινική Φαρμακοθεραπεία &amp; Φαρμακευτική - 12:00 - 15:00 (Αμφιθέατρα)")</f>
        <v>Κλινική Φαρμακοθεραπεία &amp; Φαρμακευτική - 12:00 - 15:00 (Αμφιθέατρα)</v>
      </c>
      <c r="G64" s="67" t="str">
        <f ca="1">IFERROR(__xludf.DUMMYFUNCTION("IFERROR(IF(SUMPRODUCT(('Σύνοψη'!$F$2:$F289=$A64)*('Σύνοψη'!$C$2:$C289=G$3)*('Σύνοψη'!$G$2:$G289=$B64))&gt;0,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'Σύνοψη'!$C$2:$C289=G$3)), IF(SUMPRODUCT(('Σύνοψη'!$F$2:$F289=$A64)*('Σύνοψη'!$C$2:$C289=G$3)*('Σύνοψη'!$G$2:$G289&lt;$B64)*('Σύνοψη'!$H$2:$H289&gt;$B64))&gt;0, CHAR(34), """") ), """")"),"""")</f>
        <v>"</v>
      </c>
      <c r="H64" s="67" t="str">
        <f ca="1">IFERROR(__xludf.DUMMYFUNCTION("IFERROR(IF(SUMPRODUCT(('Σύνοψη'!$F$2:$F289=$A64)*('Σύνοψη'!$C$2:$C289=H$3)*('Σύνοψη'!$G$2:$G289=$B64))&gt;0, TEXTJOIN(CHAR(10) &amp; ""-----------------------"" &amp; CHAR(10), TRUE, FILTER('Σύνοψη'!$E$2:$E289 &amp; "" - "" &amp; 'Σύνοψη'!$I$2:$I289 &amp; "" ("" &amp; 'Σύνοψη'!$J$2"&amp;":$J289 &amp; "")"", 'Σύνοψη'!$F$2:$F289=$A64, 'Σύνοψη'!$G$2:$G289=$B64, 'Σύνοψη'!$C$2:$C289=H$3)), IF(SUMPRODUCT(('Σύνοψη'!$F$2:$F289=$A64)*('Σύνοψη'!$C$2:$C289=H$3)*('Σύνοψη'!$G$2:$G289&lt;$B64)*('Σύνοψη'!$H$2:$H289&gt;$B64))&gt;0, CHAR(34), """") ), """")"),"""")</f>
        <v>"</v>
      </c>
      <c r="I64" s="3"/>
    </row>
    <row r="65" spans="1:9" s="103" customFormat="1" x14ac:dyDescent="0.25">
      <c r="A65" s="88">
        <f t="shared" si="4"/>
        <v>46269</v>
      </c>
      <c r="B65" s="89">
        <v>0.54166666666666663</v>
      </c>
      <c r="C65" s="67" t="str">
        <f ca="1">IFERROR(__xludf.DUMMYFUNCTION("IFERROR(IF(SUMPRODUCT(('Σύνοψη'!$F$2:$F289=$A65)*('Σύνοψη'!$C$2:$C289=C$3)*('Σύνοψη'!$G$2:$G289=$B65))&gt;0,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'Σύνοψη'!$C$2:$C289=C$3)), IF(SUMPRODUCT(('Σύνοψη'!$F$2:$F289=$A65)*('Σύνοψη'!$C$2:$C289=C$3)*('Σύνοψη'!$G$2:$G289&lt;$B65)*('Σύνοψη'!$H$2:$H289&gt;$B65))&gt;0, CHAR(34), """") ), """")"),"")</f>
        <v/>
      </c>
      <c r="D65" s="67" t="str">
        <f ca="1">IFERROR(__xludf.DUMMYFUNCTION("IFERROR(IF(SUMPRODUCT(('Σύνοψη'!$F$2:$F289=$A65)*('Σύνοψη'!$C$2:$C289=D$3)*('Σύνοψη'!$G$2:$G289=$B65))&gt;0,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'Σύνοψη'!$C$2:$C289=D$3)), IF(SUMPRODUCT(('Σύνοψη'!$F$2:$F289=$A65)*('Σύνοψη'!$C$2:$C289=D$3)*('Σύνοψη'!$G$2:$G289&lt;$B65)*('Σύνοψη'!$H$2:$H289&gt;$B65))&gt;0, CHAR(34), """") ), """")"),"""")</f>
        <v>"</v>
      </c>
      <c r="E65" s="67" t="str">
        <f ca="1">IFERROR(__xludf.DUMMYFUNCTION("IFERROR(IF(SUMPRODUCT(('Σύνοψη'!$F$2:$F289=$A65)*('Σύνοψη'!$C$2:$C289=E$3)*('Σύνοψη'!$G$2:$G289=$B65))&gt;0,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'Σύνοψη'!$C$2:$C289=E$3)), IF(SUMPRODUCT(('Σύνοψη'!$F$2:$F289=$A65)*('Σύνοψη'!$C$2:$C289=E$3)*('Σύνοψη'!$G$2:$G289&lt;$B65)*('Σύνοψη'!$H$2:$H289&gt;$B65))&gt;0, CHAR(34), """") ), """")"),"")</f>
        <v/>
      </c>
      <c r="F65" s="67" t="str">
        <f ca="1">IFERROR(__xludf.DUMMYFUNCTION("IFERROR(IF(SUMPRODUCT(('Σύνοψη'!$F$2:$F289=$A65)*('Σύνοψη'!$C$2:$C289=F$3)*('Σύνοψη'!$G$2:$G289=$B65))&gt;0,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'Σύνοψη'!$C$2:$C289=F$3)), IF(SUMPRODUCT(('Σύνοψη'!$F$2:$F289=$A65)*('Σύνοψη'!$C$2:$C289=F$3)*('Σύνοψη'!$G$2:$G289&lt;$B65)*('Σύνοψη'!$H$2:$H289&gt;$B65))&gt;0, CHAR(34), """") ), """")"),"""")</f>
        <v>"</v>
      </c>
      <c r="G65" s="67" t="str">
        <f ca="1">IFERROR(__xludf.DUMMYFUNCTION("IFERROR(IF(SUMPRODUCT(('Σύνοψη'!$F$2:$F289=$A65)*('Σύνοψη'!$C$2:$C289=G$3)*('Σύνοψη'!$G$2:$G289=$B65))&gt;0,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'Σύνοψη'!$C$2:$C289=G$3)), IF(SUMPRODUCT(('Σύνοψη'!$F$2:$F289=$A65)*('Σύνοψη'!$C$2:$C289=G$3)*('Σύνοψη'!$G$2:$G289&lt;$B65)*('Σύνοψη'!$H$2:$H289&gt;$B65))&gt;0, CHAR(34), """") ), """")"),"""")</f>
        <v>"</v>
      </c>
      <c r="H65" s="67" t="str">
        <f ca="1">IFERROR(__xludf.DUMMYFUNCTION("IFERROR(IF(SUMPRODUCT(('Σύνοψη'!$F$2:$F289=$A65)*('Σύνοψη'!$C$2:$C289=H$3)*('Σύνοψη'!$G$2:$G289=$B65))&gt;0, TEXTJOIN(CHAR(10) &amp; ""-----------------------"" &amp; CHAR(10), TRUE, FILTER('Σύνοψη'!$E$2:$E289 &amp; "" - "" &amp; 'Σύνοψη'!$I$2:$I289 &amp; "" ("" &amp; 'Σύνοψη'!$J$2"&amp;":$J289 &amp; "")"", 'Σύνοψη'!$F$2:$F289=$A65, 'Σύνοψη'!$G$2:$G289=$B65, 'Σύνοψη'!$C$2:$C289=H$3)), IF(SUMPRODUCT(('Σύνοψη'!$F$2:$F289=$A65)*('Σύνοψη'!$C$2:$C289=H$3)*('Σύνοψη'!$G$2:$G289&lt;$B65)*('Σύνοψη'!$H$2:$H289&gt;$B65))&gt;0, CHAR(34), """") ), """")"),"""")</f>
        <v>"</v>
      </c>
      <c r="I65" s="3"/>
    </row>
    <row r="66" spans="1:9" s="103" customFormat="1" x14ac:dyDescent="0.25">
      <c r="A66" s="88">
        <f t="shared" si="4"/>
        <v>46269</v>
      </c>
      <c r="B66" s="89">
        <v>0.58333333333333337</v>
      </c>
      <c r="C66" s="67" t="str">
        <f ca="1">IFERROR(__xludf.DUMMYFUNCTION("IFERROR(IF(SUMPRODUCT(('Σύνοψη'!$F$2:$F289=$A66)*('Σύνοψη'!$C$2:$C289=C$3)*('Σύνοψη'!$G$2:$G289=$B66))&gt;0,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'Σύνοψη'!$C$2:$C289=C$3)), IF(SUMPRODUCT(('Σύνοψη'!$F$2:$F289=$A66)*('Σύνοψη'!$C$2:$C289=C$3)*('Σύνοψη'!$G$2:$G289&lt;$B66)*('Σύνοψη'!$H$2:$H289&gt;$B66))&gt;0, CHAR(34), """") ), """")"),"")</f>
        <v/>
      </c>
      <c r="D66" s="67" t="str">
        <f ca="1">IFERROR(__xludf.DUMMYFUNCTION("IFERROR(IF(SUMPRODUCT(('Σύνοψη'!$F$2:$F289=$A66)*('Σύνοψη'!$C$2:$C289=D$3)*('Σύνοψη'!$G$2:$G289=$B66))&gt;0,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'Σύνοψη'!$C$2:$C289=D$3)), IF(SUMPRODUCT(('Σύνοψη'!$F$2:$F289=$A66)*('Σύνοψη'!$C$2:$C289=D$3)*('Σύνοψη'!$G$2:$G289&lt;$B66)*('Σύνοψη'!$H$2:$H289&gt;$B66))&gt;0, CHAR(34), """") ), """")"),"""")</f>
        <v>"</v>
      </c>
      <c r="E66" s="67" t="str">
        <f ca="1">IFERROR(__xludf.DUMMYFUNCTION("IFERROR(IF(SUMPRODUCT(('Σύνοψη'!$F$2:$F289=$A66)*('Σύνοψη'!$C$2:$C289=E$3)*('Σύνοψη'!$G$2:$G289=$B66))&gt;0,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'Σύνοψη'!$C$2:$C289=E$3)), IF(SUMPRODUCT(('Σύνοψη'!$F$2:$F289=$A66)*('Σύνοψη'!$C$2:$C289=E$3)*('Σύνοψη'!$G$2:$G289&lt;$B66)*('Σύνοψη'!$H$2:$H289&gt;$B66))&gt;0, CHAR(34), """") ), """")"),"")</f>
        <v/>
      </c>
      <c r="F66" s="67" t="str">
        <f ca="1">IFERROR(__xludf.DUMMYFUNCTION("IFERROR(IF(SUMPRODUCT(('Σύνοψη'!$F$2:$F289=$A66)*('Σύνοψη'!$C$2:$C289=F$3)*('Σύνοψη'!$G$2:$G289=$B66))&gt;0,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'Σύνοψη'!$C$2:$C289=F$3)), IF(SUMPRODUCT(('Σύνοψη'!$F$2:$F289=$A66)*('Σύνοψη'!$C$2:$C289=F$3)*('Σύνοψη'!$G$2:$G289&lt;$B66)*('Σύνοψη'!$H$2:$H289&gt;$B66))&gt;0, CHAR(34), """") ), """")"),"""")</f>
        <v>"</v>
      </c>
      <c r="G66" s="67" t="str">
        <f ca="1">IFERROR(__xludf.DUMMYFUNCTION("IFERROR(IF(SUMPRODUCT(('Σύνοψη'!$F$2:$F289=$A66)*('Σύνοψη'!$C$2:$C289=G$3)*('Σύνοψη'!$G$2:$G289=$B66))&gt;0,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'Σύνοψη'!$C$2:$C289=G$3)), IF(SUMPRODUCT(('Σύνοψη'!$F$2:$F289=$A66)*('Σύνοψη'!$C$2:$C289=G$3)*('Σύνοψη'!$G$2:$G289&lt;$B66)*('Σύνοψη'!$H$2:$H289&gt;$B66))&gt;0, CHAR(34), """") ), """")"),"""")</f>
        <v>"</v>
      </c>
      <c r="H66" s="67" t="str">
        <f ca="1">IFERROR(__xludf.DUMMYFUNCTION("IFERROR(IF(SUMPRODUCT(('Σύνοψη'!$F$2:$F289=$A66)*('Σύνοψη'!$C$2:$C289=H$3)*('Σύνοψη'!$G$2:$G289=$B66))&gt;0, TEXTJOIN(CHAR(10) &amp; ""-----------------------"" &amp; CHAR(10), TRUE, FILTER('Σύνοψη'!$E$2:$E289 &amp; "" - "" &amp; 'Σύνοψη'!$I$2:$I289 &amp; "" ("" &amp; 'Σύνοψη'!$J$2"&amp;":$J289 &amp; "")"", 'Σύνοψη'!$F$2:$F289=$A66, 'Σύνοψη'!$G$2:$G289=$B66, 'Σύνοψη'!$C$2:$C289=H$3)), IF(SUMPRODUCT(('Σύνοψη'!$F$2:$F289=$A66)*('Σύνοψη'!$C$2:$C289=H$3)*('Σύνοψη'!$G$2:$G289&lt;$B66)*('Σύνοψη'!$H$2:$H289&gt;$B66))&gt;0, CHAR(34), """") ), """")"),"""")</f>
        <v>"</v>
      </c>
      <c r="I66" s="3"/>
    </row>
    <row r="67" spans="1:9" s="103" customFormat="1" ht="30" x14ac:dyDescent="0.25">
      <c r="A67" s="88">
        <f t="shared" si="4"/>
        <v>46269</v>
      </c>
      <c r="B67" s="89">
        <v>0.625</v>
      </c>
      <c r="C67" s="67" t="str">
        <f ca="1">IFERROR(__xludf.DUMMYFUNCTION("IFERROR(IF(SUMPRODUCT(('Σύνοψη'!$F$2:$F289=$A67)*('Σύνοψη'!$C$2:$C289=C$3)*('Σύνοψη'!$G$2:$G289=$B67))&gt;0,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'Σύνοψη'!$C$2:$C289=C$3)), IF(SUMPRODUCT(('Σύνοψη'!$F$2:$F289=$A67)*('Σύνοψη'!$C$2:$C289=C$3)*('Σύνοψη'!$G$2:$G289&lt;$B67)*('Σύνοψη'!$H$2:$H289&gt;$B67))&gt;0, CHAR(34), """") ), """")"),"")</f>
        <v/>
      </c>
      <c r="D67" s="67" t="str">
        <f ca="1">IFERROR(__xludf.DUMMYFUNCTION("IFERROR(IF(SUMPRODUCT(('Σύνοψη'!$F$2:$F289=$A67)*('Σύνοψη'!$C$2:$C289=D$3)*('Σύνοψη'!$G$2:$G289=$B67))&gt;0,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'Σύνοψη'!$C$2:$C289=D$3)), IF(SUMPRODUCT(('Σύνοψη'!$F$2:$F289=$A67)*('Σύνοψη'!$C$2:$C289=D$3)*('Σύνοψη'!$G$2:$G289&lt;$B67)*('Σύνοψη'!$H$2:$H289&gt;$B67))&gt;0, CHAR(34), """") ), """")"),"")</f>
        <v/>
      </c>
      <c r="E67" s="67" t="str">
        <f ca="1">IFERROR(__xludf.DUMMYFUNCTION("IFERROR(IF(SUMPRODUCT(('Σύνοψη'!$F$2:$F289=$A67)*('Σύνοψη'!$C$2:$C289=E$3)*('Σύνοψη'!$G$2:$G289=$B67))&gt;0,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'Σύνοψη'!$C$2:$C289=E$3)), IF(SUMPRODUCT(('Σύνοψη'!$F$2:$F289=$A67)*('Σύνοψη'!$C$2:$C289=E$3)*('Σύνοψη'!$G$2:$G289&lt;$B67)*('Σύνοψη'!$H$2:$H289&gt;$B67))&gt;0, CHAR(34), """") ), """")"),"Παθολογία Ζώων Συντροφιάς ΙΙ - 15:00 - 17:00 (Νέες Αίθουσες)")</f>
        <v>Παθολογία Ζώων Συντροφιάς ΙΙ - 15:00 - 17:00 (Νέες Αίθουσες)</v>
      </c>
      <c r="F67" s="67" t="str">
        <f ca="1">IFERROR(__xludf.DUMMYFUNCTION("IFERROR(IF(SUMPRODUCT(('Σύνοψη'!$F$2:$F289=$A67)*('Σύνοψη'!$C$2:$C289=F$3)*('Σύνοψη'!$G$2:$G289=$B67))&gt;0,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'Σύνοψη'!$C$2:$C289=F$3)), IF(SUMPRODUCT(('Σύνοψη'!$F$2:$F289=$A67)*('Σύνοψη'!$C$2:$C289=F$3)*('Σύνοψη'!$G$2:$G289&lt;$B67)*('Σύνοψη'!$H$2:$H289&gt;$B67))&gt;0, CHAR(34), """") ), """")"),"")</f>
        <v/>
      </c>
      <c r="G67" s="67" t="str">
        <f ca="1">IFERROR(__xludf.DUMMYFUNCTION("IFERROR(IF(SUMPRODUCT(('Σύνοψη'!$F$2:$F289=$A67)*('Σύνοψη'!$C$2:$C289=G$3)*('Σύνοψη'!$G$2:$G289=$B67))&gt;0,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'Σύνοψη'!$C$2:$C289=G$3)), IF(SUMPRODUCT(('Σύνοψη'!$F$2:$F289=$A67)*('Σύνοψη'!$C$2:$C289=G$3)*('Σύνοψη'!$G$2:$G289&lt;$B67)*('Σύνοψη'!$H$2:$H289&gt;$B67))&gt;0, CHAR(34), """") ), """")"),"")</f>
        <v/>
      </c>
      <c r="H67" s="67" t="str">
        <f ca="1">IFERROR(__xludf.DUMMYFUNCTION("IFERROR(IF(SUMPRODUCT(('Σύνοψη'!$F$2:$F289=$A67)*('Σύνοψη'!$C$2:$C289=H$3)*('Σύνοψη'!$G$2:$G289=$B67))&gt;0, TEXTJOIN(CHAR(10) &amp; ""-----------------------"" &amp; CHAR(10), TRUE, FILTER('Σύνοψη'!$E$2:$E289 &amp; "" - "" &amp; 'Σύνοψη'!$I$2:$I289 &amp; "" ("" &amp; 'Σύνοψη'!$J$2"&amp;":$J289 &amp; "")"", 'Σύνοψη'!$F$2:$F289=$A67, 'Σύνοψη'!$G$2:$G289=$B67, 'Σύνοψη'!$C$2:$C289=H$3)), IF(SUMPRODUCT(('Σύνοψη'!$F$2:$F289=$A67)*('Σύνοψη'!$C$2:$C289=H$3)*('Σύνοψη'!$G$2:$G289&lt;$B67)*('Σύνοψη'!$H$2:$H289&gt;$B67))&gt;0, CHAR(34), """") ), """")"),"Ειδική Παθολογία ΖΣ ΙΙ (ΠΠΣ) - 15:00 - 17:00 (Νέες Αίθουσες)")</f>
        <v>Ειδική Παθολογία ΖΣ ΙΙ (ΠΠΣ) - 15:00 - 17:00 (Νέες Αίθουσες)</v>
      </c>
      <c r="I67" s="3"/>
    </row>
    <row r="68" spans="1:9" s="103" customFormat="1" x14ac:dyDescent="0.25">
      <c r="A68" s="88">
        <f t="shared" si="4"/>
        <v>46269</v>
      </c>
      <c r="B68" s="89">
        <v>0.66666666666666663</v>
      </c>
      <c r="C68" s="67" t="str">
        <f ca="1">IFERROR(__xludf.DUMMYFUNCTION("IFERROR(IF(SUMPRODUCT(('Σύνοψη'!$F$2:$F289=$A68)*('Σύνοψη'!$C$2:$C289=C$3)*('Σύνοψη'!$G$2:$G289=$B68))&gt;0,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'Σύνοψη'!$C$2:$C289=C$3)), IF(SUMPRODUCT(('Σύνοψη'!$F$2:$F289=$A68)*('Σύνοψη'!$C$2:$C289=C$3)*('Σύνοψη'!$G$2:$G289&lt;$B68)*('Σύνοψη'!$H$2:$H289&gt;$B68))&gt;0, CHAR(34), """") ), """")"),"")</f>
        <v/>
      </c>
      <c r="D68" s="67" t="str">
        <f ca="1">IFERROR(__xludf.DUMMYFUNCTION("IFERROR(IF(SUMPRODUCT(('Σύνοψη'!$F$2:$F289=$A68)*('Σύνοψη'!$C$2:$C289=D$3)*('Σύνοψη'!$G$2:$G289=$B68))&gt;0,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'Σύνοψη'!$C$2:$C289=D$3)), IF(SUMPRODUCT(('Σύνοψη'!$F$2:$F289=$A68)*('Σύνοψη'!$C$2:$C289=D$3)*('Σύνοψη'!$G$2:$G289&lt;$B68)*('Σύνοψη'!$H$2:$H289&gt;$B68))&gt;0, CHAR(34), """") ), """")"),"")</f>
        <v/>
      </c>
      <c r="E68" s="67" t="str">
        <f ca="1">IFERROR(__xludf.DUMMYFUNCTION("IFERROR(IF(SUMPRODUCT(('Σύνοψη'!$F$2:$F289=$A68)*('Σύνοψη'!$C$2:$C289=E$3)*('Σύνοψη'!$G$2:$G289=$B68))&gt;0,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'Σύνοψη'!$C$2:$C289=E$3)), IF(SUMPRODUCT(('Σύνοψη'!$F$2:$F289=$A68)*('Σύνοψη'!$C$2:$C289=E$3)*('Σύνοψη'!$G$2:$G289&lt;$B68)*('Σύνοψη'!$H$2:$H289&gt;$B68))&gt;0, CHAR(34), """") ), """")"),"""")</f>
        <v>"</v>
      </c>
      <c r="F68" s="67" t="str">
        <f ca="1">IFERROR(__xludf.DUMMYFUNCTION("IFERROR(IF(SUMPRODUCT(('Σύνοψη'!$F$2:$F289=$A68)*('Σύνοψη'!$C$2:$C289=F$3)*('Σύνοψη'!$G$2:$G289=$B68))&gt;0,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'Σύνοψη'!$C$2:$C289=F$3)), IF(SUMPRODUCT(('Σύνοψη'!$F$2:$F289=$A68)*('Σύνοψη'!$C$2:$C289=F$3)*('Σύνοψη'!$G$2:$G289&lt;$B68)*('Σύνοψη'!$H$2:$H289&gt;$B68))&gt;0, CHAR(34), """") ), """")"),"")</f>
        <v/>
      </c>
      <c r="G68" s="67" t="str">
        <f ca="1">IFERROR(__xludf.DUMMYFUNCTION("IFERROR(IF(SUMPRODUCT(('Σύνοψη'!$F$2:$F289=$A68)*('Σύνοψη'!$C$2:$C289=G$3)*('Σύνοψη'!$G$2:$G289=$B68))&gt;0,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'Σύνοψη'!$C$2:$C289=G$3)), IF(SUMPRODUCT(('Σύνοψη'!$F$2:$F289=$A68)*('Σύνοψη'!$C$2:$C289=G$3)*('Σύνοψη'!$G$2:$G289&lt;$B68)*('Σύνοψη'!$H$2:$H289&gt;$B68))&gt;0, CHAR(34), """") ), """")"),"")</f>
        <v/>
      </c>
      <c r="H68" s="67" t="str">
        <f ca="1">IFERROR(__xludf.DUMMYFUNCTION("IFERROR(IF(SUMPRODUCT(('Σύνοψη'!$F$2:$F289=$A68)*('Σύνοψη'!$C$2:$C289=H$3)*('Σύνοψη'!$G$2:$G289=$B68))&gt;0, TEXTJOIN(CHAR(10) &amp; ""-----------------------"" &amp; CHAR(10), TRUE, FILTER('Σύνοψη'!$E$2:$E289 &amp; "" - "" &amp; 'Σύνοψη'!$I$2:$I289 &amp; "" ("" &amp; 'Σύνοψη'!$J$2"&amp;":$J289 &amp; "")"", 'Σύνοψη'!$F$2:$F289=$A68, 'Σύνοψη'!$G$2:$G289=$B68, 'Σύνοψη'!$C$2:$C289=H$3)), IF(SUMPRODUCT(('Σύνοψη'!$F$2:$F289=$A68)*('Σύνοψη'!$C$2:$C289=H$3)*('Σύνοψη'!$G$2:$G289&lt;$B68)*('Σύνοψη'!$H$2:$H289&gt;$B68))&gt;0, CHAR(34), """") ), """")"),"""")</f>
        <v>"</v>
      </c>
      <c r="I68" s="3"/>
    </row>
    <row r="69" spans="1:9" s="103" customFormat="1" ht="30" x14ac:dyDescent="0.25">
      <c r="A69" s="88">
        <f t="shared" si="4"/>
        <v>46269</v>
      </c>
      <c r="B69" s="89">
        <v>0.70833333333333337</v>
      </c>
      <c r="C69" s="67" t="str">
        <f ca="1">IFERROR(__xludf.DUMMYFUNCTION("IFERROR(IF(SUMPRODUCT(('Σύνοψη'!$F$2:$F289=$A69)*('Σύνοψη'!$C$2:$C289=C$3)*('Σύνοψη'!$G$2:$G289=$B69))&gt;0,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'Σύνοψη'!$C$2:$C289=C$3)), IF(SUMPRODUCT(('Σύνοψη'!$F$2:$F289=$A69)*('Σύνοψη'!$C$2:$C289=C$3)*('Σύνοψη'!$G$2:$G289&lt;$B69)*('Σύνοψη'!$H$2:$H289&gt;$B69))&gt;0, CHAR(34), """") ), """")"),"")</f>
        <v/>
      </c>
      <c r="D69" s="67" t="str">
        <f ca="1">IFERROR(__xludf.DUMMYFUNCTION("IFERROR(IF(SUMPRODUCT(('Σύνοψη'!$F$2:$F289=$A69)*('Σύνοψη'!$C$2:$C289=D$3)*('Σύνοψη'!$G$2:$G289=$B69))&gt;0,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'Σύνοψη'!$C$2:$C289=D$3)), IF(SUMPRODUCT(('Σύνοψη'!$F$2:$F289=$A69)*('Σύνοψη'!$C$2:$C289=D$3)*('Σύνοψη'!$G$2:$G289&lt;$B69)*('Σύνοψη'!$H$2:$H289&gt;$B69))&gt;0, CHAR(34), """") ), """")"),"Γενική Παθολογία - 17:00 - 19:00 (Νέες Αίθουσες)")</f>
        <v>Γενική Παθολογία - 17:00 - 19:00 (Νέες Αίθουσες)</v>
      </c>
      <c r="E69" s="67" t="str">
        <f ca="1">IFERROR(__xludf.DUMMYFUNCTION("IFERROR(IF(SUMPRODUCT(('Σύνοψη'!$F$2:$F289=$A69)*('Σύνοψη'!$C$2:$C289=E$3)*('Σύνοψη'!$G$2:$G289=$B69))&gt;0,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'Σύνοψη'!$C$2:$C289=E$3)), IF(SUMPRODUCT(('Σύνοψη'!$F$2:$F289=$A69)*('Σύνοψη'!$C$2:$C289=E$3)*('Σύνοψη'!$G$2:$G289&lt;$B69)*('Σύνοψη'!$H$2:$H289&gt;$B69))&gt;0, CHAR(34), """") ), """")"),"")</f>
        <v/>
      </c>
      <c r="F69" s="67" t="str">
        <f ca="1">IFERROR(__xludf.DUMMYFUNCTION("IFERROR(IF(SUMPRODUCT(('Σύνοψη'!$F$2:$F289=$A69)*('Σύνοψη'!$C$2:$C289=F$3)*('Σύνοψη'!$G$2:$G289=$B69))&gt;0,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'Σύνοψη'!$C$2:$C289=F$3)), IF(SUMPRODUCT(('Σύνοψη'!$F$2:$F289=$A69)*('Σύνοψη'!$C$2:$C289=F$3)*('Σύνοψη'!$G$2:$G289&lt;$B69)*('Σύνοψη'!$H$2:$H289&gt;$B69))&gt;0, CHAR(34), """") ), """")"),"")</f>
        <v/>
      </c>
      <c r="G69" s="67" t="str">
        <f ca="1">IFERROR(__xludf.DUMMYFUNCTION("IFERROR(IF(SUMPRODUCT(('Σύνοψη'!$F$2:$F289=$A69)*('Σύνοψη'!$C$2:$C289=G$3)*('Σύνοψη'!$G$2:$G289=$B69))&gt;0,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'Σύνοψη'!$C$2:$C289=G$3)), IF(SUMPRODUCT(('Σύνοψη'!$F$2:$F289=$A69)*('Σύνοψη'!$C$2:$C289=G$3)*('Σύνοψη'!$G$2:$G289&lt;$B69)*('Σύνοψη'!$H$2:$H289&gt;$B69))&gt;0, CHAR(34), """") ), """")"),"")</f>
        <v/>
      </c>
      <c r="H69" s="67" t="str">
        <f ca="1">IFERROR(__xludf.DUMMYFUNCTION("IFERROR(IF(SUMPRODUCT(('Σύνοψη'!$F$2:$F289=$A69)*('Σύνοψη'!$C$2:$C289=H$3)*('Σύνοψη'!$G$2:$G289=$B69))&gt;0, TEXTJOIN(CHAR(10) &amp; ""-----------------------"" &amp; CHAR(10), TRUE, FILTER('Σύνοψη'!$E$2:$E289 &amp; "" - "" &amp; 'Σύνοψη'!$I$2:$I289 &amp; "" ("" &amp; 'Σύνοψη'!$J$2"&amp;":$J289 &amp; "")"", 'Σύνοψη'!$F$2:$F289=$A69, 'Σύνοψη'!$G$2:$G289=$B69, 'Σύνοψη'!$C$2:$C289=H$3)), IF(SUMPRODUCT(('Σύνοψη'!$F$2:$F289=$A69)*('Σύνοψη'!$C$2:$C289=H$3)*('Σύνοψη'!$G$2:$G289&lt;$B69)*('Σύνοψη'!$H$2:$H289&gt;$B69))&gt;0, CHAR(34), """") ), """")"),"Γενική Παθολογία (ΠΠΣ) - 17:00 - 19:00 (Νέες Αίθουσες)")</f>
        <v>Γενική Παθολογία (ΠΠΣ) - 17:00 - 19:00 (Νέες Αίθουσες)</v>
      </c>
      <c r="I69" s="3"/>
    </row>
    <row r="70" spans="1:9" s="103" customFormat="1" x14ac:dyDescent="0.25">
      <c r="A70" s="88">
        <f t="shared" si="4"/>
        <v>46269</v>
      </c>
      <c r="B70" s="89">
        <v>0.75</v>
      </c>
      <c r="C70" s="67" t="str">
        <f ca="1">IFERROR(__xludf.DUMMYFUNCTION("IFERROR(IF(SUMPRODUCT(('Σύνοψη'!$F$2:$F289=$A70)*('Σύνοψη'!$C$2:$C289=C$3)*('Σύνοψη'!$G$2:$G289=$B70))&gt;0,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'Σύνοψη'!$C$2:$C289=C$3)), IF(SUMPRODUCT(('Σύνοψη'!$F$2:$F289=$A70)*('Σύνοψη'!$C$2:$C289=C$3)*('Σύνοψη'!$G$2:$G289&lt;$B70)*('Σύνοψη'!$H$2:$H289&gt;$B70))&gt;0, CHAR(34), """") ), """")"),"")</f>
        <v/>
      </c>
      <c r="D70" s="67" t="str">
        <f ca="1">IFERROR(__xludf.DUMMYFUNCTION("IFERROR(IF(SUMPRODUCT(('Σύνοψη'!$F$2:$F289=$A70)*('Σύνοψη'!$C$2:$C289=D$3)*('Σύνοψη'!$G$2:$G289=$B70))&gt;0,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'Σύνοψη'!$C$2:$C289=D$3)), IF(SUMPRODUCT(('Σύνοψη'!$F$2:$F289=$A70)*('Σύνοψη'!$C$2:$C289=D$3)*('Σύνοψη'!$G$2:$G289&lt;$B70)*('Σύνοψη'!$H$2:$H289&gt;$B70))&gt;0, CHAR(34), """") ), """")"),"""")</f>
        <v>"</v>
      </c>
      <c r="E70" s="67" t="str">
        <f ca="1">IFERROR(__xludf.DUMMYFUNCTION("IFERROR(IF(SUMPRODUCT(('Σύνοψη'!$F$2:$F289=$A70)*('Σύνοψη'!$C$2:$C289=E$3)*('Σύνοψη'!$G$2:$G289=$B70))&gt;0,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'Σύνοψη'!$C$2:$C289=E$3)), IF(SUMPRODUCT(('Σύνοψη'!$F$2:$F289=$A70)*('Σύνοψη'!$C$2:$C289=E$3)*('Σύνοψη'!$G$2:$G289&lt;$B70)*('Σύνοψη'!$H$2:$H289&gt;$B70))&gt;0, CHAR(34), """") ), """")"),"")</f>
        <v/>
      </c>
      <c r="F70" s="67" t="str">
        <f ca="1">IFERROR(__xludf.DUMMYFUNCTION("IFERROR(IF(SUMPRODUCT(('Σύνοψη'!$F$2:$F289=$A70)*('Σύνοψη'!$C$2:$C289=F$3)*('Σύνοψη'!$G$2:$G289=$B70))&gt;0,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'Σύνοψη'!$C$2:$C289=F$3)), IF(SUMPRODUCT(('Σύνοψη'!$F$2:$F289=$A70)*('Σύνοψη'!$C$2:$C289=F$3)*('Σύνοψη'!$G$2:$G289&lt;$B70)*('Σύνοψη'!$H$2:$H289&gt;$B70))&gt;0, CHAR(34), """") ), """")"),"")</f>
        <v/>
      </c>
      <c r="G70" s="67" t="str">
        <f ca="1">IFERROR(__xludf.DUMMYFUNCTION("IFERROR(IF(SUMPRODUCT(('Σύνοψη'!$F$2:$F289=$A70)*('Σύνοψη'!$C$2:$C289=G$3)*('Σύνοψη'!$G$2:$G289=$B70))&gt;0,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'Σύνοψη'!$C$2:$C289=G$3)), IF(SUMPRODUCT(('Σύνοψη'!$F$2:$F289=$A70)*('Σύνοψη'!$C$2:$C289=G$3)*('Σύνοψη'!$G$2:$G289&lt;$B70)*('Σύνοψη'!$H$2:$H289&gt;$B70))&gt;0, CHAR(34), """") ), """")"),"")</f>
        <v/>
      </c>
      <c r="H70" s="67" t="str">
        <f ca="1">IFERROR(__xludf.DUMMYFUNCTION("IFERROR(IF(SUMPRODUCT(('Σύνοψη'!$F$2:$F289=$A70)*('Σύνοψη'!$C$2:$C289=H$3)*('Σύνοψη'!$G$2:$G289=$B70))&gt;0, TEXTJOIN(CHAR(10) &amp; ""-----------------------"" &amp; CHAR(10), TRUE, FILTER('Σύνοψη'!$E$2:$E289 &amp; "" - "" &amp; 'Σύνοψη'!$I$2:$I289 &amp; "" ("" &amp; 'Σύνοψη'!$J$2"&amp;":$J289 &amp; "")"", 'Σύνοψη'!$F$2:$F289=$A70, 'Σύνοψη'!$G$2:$G289=$B70, 'Σύνοψη'!$C$2:$C289=H$3)), IF(SUMPRODUCT(('Σύνοψη'!$F$2:$F289=$A70)*('Σύνοψη'!$C$2:$C289=H$3)*('Σύνοψη'!$G$2:$G289&lt;$B70)*('Σύνοψη'!$H$2:$H289&gt;$B70))&gt;0, CHAR(34), """") ), """")"),"""")</f>
        <v>"</v>
      </c>
      <c r="I70" s="3"/>
    </row>
    <row r="71" spans="1:9" s="103" customFormat="1" x14ac:dyDescent="0.25">
      <c r="A71" s="88">
        <f t="shared" si="4"/>
        <v>46269</v>
      </c>
      <c r="B71" s="89">
        <v>0.79166666666666663</v>
      </c>
      <c r="C71" s="67" t="str">
        <f ca="1">IFERROR(__xludf.DUMMYFUNCTION("IFERROR(IF(SUMPRODUCT(('Σύνοψη'!$F$2:$F289=$A71)*('Σύνοψη'!$C$2:$C289=C$3)*('Σύνοψη'!$G$2:$G289=$B71))&gt;0,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'Σύνοψη'!$C$2:$C289=C$3)), IF(SUMPRODUCT(('Σύνοψη'!$F$2:$F289=$A71)*('Σύνοψη'!$C$2:$C289=C$3)*('Σύνοψη'!$G$2:$G289&lt;$B71)*('Σύνοψη'!$H$2:$H289&gt;$B71))&gt;0, CHAR(34), """") ), """")"),"")</f>
        <v/>
      </c>
      <c r="D71" s="67" t="str">
        <f ca="1">IFERROR(__xludf.DUMMYFUNCTION("IFERROR(IF(SUMPRODUCT(('Σύνοψη'!$F$2:$F289=$A71)*('Σύνοψη'!$C$2:$C289=D$3)*('Σύνοψη'!$G$2:$G289=$B71))&gt;0,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'Σύνοψη'!$C$2:$C289=D$3)), IF(SUMPRODUCT(('Σύνοψη'!$F$2:$F289=$A71)*('Σύνοψη'!$C$2:$C289=D$3)*('Σύνοψη'!$G$2:$G289&lt;$B71)*('Σύνοψη'!$H$2:$H289&gt;$B71))&gt;0, CHAR(34), """") ), """")"),"")</f>
        <v/>
      </c>
      <c r="E71" s="67" t="str">
        <f ca="1">IFERROR(__xludf.DUMMYFUNCTION("IFERROR(IF(SUMPRODUCT(('Σύνοψη'!$F$2:$F289=$A71)*('Σύνοψη'!$C$2:$C289=E$3)*('Σύνοψη'!$G$2:$G289=$B71))&gt;0,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'Σύνοψη'!$C$2:$C289=E$3)), IF(SUMPRODUCT(('Σύνοψη'!$F$2:$F289=$A71)*('Σύνοψη'!$C$2:$C289=E$3)*('Σύνοψη'!$G$2:$G289&lt;$B71)*('Σύνοψη'!$H$2:$H289&gt;$B71))&gt;0, CHAR(34), """") ), """")"),"")</f>
        <v/>
      </c>
      <c r="F71" s="67" t="str">
        <f ca="1">IFERROR(__xludf.DUMMYFUNCTION("IFERROR(IF(SUMPRODUCT(('Σύνοψη'!$F$2:$F289=$A71)*('Σύνοψη'!$C$2:$C289=F$3)*('Σύνοψη'!$G$2:$G289=$B71))&gt;0,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'Σύνοψη'!$C$2:$C289=F$3)), IF(SUMPRODUCT(('Σύνοψη'!$F$2:$F289=$A71)*('Σύνοψη'!$C$2:$C289=F$3)*('Σύνοψη'!$G$2:$G289&lt;$B71)*('Σύνοψη'!$H$2:$H289&gt;$B71))&gt;0, CHAR(34), """") ), """")"),"")</f>
        <v/>
      </c>
      <c r="G71" s="67" t="str">
        <f ca="1">IFERROR(__xludf.DUMMYFUNCTION("IFERROR(IF(SUMPRODUCT(('Σύνοψη'!$F$2:$F289=$A71)*('Σύνοψη'!$C$2:$C289=G$3)*('Σύνοψη'!$G$2:$G289=$B71))&gt;0,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'Σύνοψη'!$C$2:$C289=G$3)), IF(SUMPRODUCT(('Σύνοψη'!$F$2:$F289=$A71)*('Σύνοψη'!$C$2:$C289=G$3)*('Σύνοψη'!$G$2:$G289&lt;$B71)*('Σύνοψη'!$H$2:$H289&gt;$B71))&gt;0, CHAR(34), """") ), """")"),"")</f>
        <v/>
      </c>
      <c r="H71" s="67" t="str">
        <f ca="1">IFERROR(__xludf.DUMMYFUNCTION("IFERROR(IF(SUMPRODUCT(('Σύνοψη'!$F$2:$F289=$A71)*('Σύνοψη'!$C$2:$C289=H$3)*('Σύνοψη'!$G$2:$G289=$B71))&gt;0, TEXTJOIN(CHAR(10) &amp; ""-----------------------"" &amp; CHAR(10), TRUE, FILTER('Σύνοψη'!$E$2:$E289 &amp; "" - "" &amp; 'Σύνοψη'!$I$2:$I289 &amp; "" ("" &amp; 'Σύνοψη'!$J$2"&amp;":$J289 &amp; "")"", 'Σύνοψη'!$F$2:$F289=$A71, 'Σύνοψη'!$G$2:$G289=$B71, 'Σύνοψη'!$C$2:$C289=H$3)), IF(SUMPRODUCT(('Σύνοψη'!$F$2:$F289=$A71)*('Σύνοψη'!$C$2:$C289=H$3)*('Σύνοψη'!$G$2:$G289&lt;$B71)*('Σύνοψη'!$H$2:$H289&gt;$B71))&gt;0, CHAR(34), """") ), """")"),"")</f>
        <v/>
      </c>
      <c r="I71" s="3"/>
    </row>
    <row r="72" spans="1:9" s="103" customFormat="1" x14ac:dyDescent="0.25">
      <c r="A72" s="88">
        <f t="shared" si="4"/>
        <v>46269</v>
      </c>
      <c r="B72" s="89">
        <v>0.83333333333333337</v>
      </c>
      <c r="C72" s="67" t="str">
        <f ca="1">IFERROR(__xludf.DUMMYFUNCTION("IFERROR(IF(SUMPRODUCT(('Σύνοψη'!$F$2:$F289=$A72)*('Σύνοψη'!$C$2:$C289=C$3)*('Σύνοψη'!$G$2:$G289=$B72))&gt;0,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'Σύνοψη'!$C$2:$C289=C$3)), IF(SUMPRODUCT(('Σύνοψη'!$F$2:$F289=$A72)*('Σύνοψη'!$C$2:$C289=C$3)*('Σύνοψη'!$G$2:$G289&lt;$B72)*('Σύνοψη'!$H$2:$H289&gt;$B72))&gt;0, CHAR(34), """") ), """")"),"")</f>
        <v/>
      </c>
      <c r="D72" s="67" t="str">
        <f ca="1">IFERROR(__xludf.DUMMYFUNCTION("IFERROR(IF(SUMPRODUCT(('Σύνοψη'!$F$2:$F289=$A72)*('Σύνοψη'!$C$2:$C289=D$3)*('Σύνοψη'!$G$2:$G289=$B72))&gt;0,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'Σύνοψη'!$C$2:$C289=D$3)), IF(SUMPRODUCT(('Σύνοψη'!$F$2:$F289=$A72)*('Σύνοψη'!$C$2:$C289=D$3)*('Σύνοψη'!$G$2:$G289&lt;$B72)*('Σύνοψη'!$H$2:$H289&gt;$B72))&gt;0, CHAR(34), """") ), """")"),"")</f>
        <v/>
      </c>
      <c r="E72" s="67" t="str">
        <f ca="1">IFERROR(__xludf.DUMMYFUNCTION("IFERROR(IF(SUMPRODUCT(('Σύνοψη'!$F$2:$F289=$A72)*('Σύνοψη'!$C$2:$C289=E$3)*('Σύνοψη'!$G$2:$G289=$B72))&gt;0,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'Σύνοψη'!$C$2:$C289=E$3)), IF(SUMPRODUCT(('Σύνοψη'!$F$2:$F289=$A72)*('Σύνοψη'!$C$2:$C289=E$3)*('Σύνοψη'!$G$2:$G289&lt;$B72)*('Σύνοψη'!$H$2:$H289&gt;$B72))&gt;0, CHAR(34), """") ), """")"),"")</f>
        <v/>
      </c>
      <c r="F72" s="67" t="str">
        <f ca="1">IFERROR(__xludf.DUMMYFUNCTION("IFERROR(IF(SUMPRODUCT(('Σύνοψη'!$F$2:$F289=$A72)*('Σύνοψη'!$C$2:$C289=F$3)*('Σύνοψη'!$G$2:$G289=$B72))&gt;0,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'Σύνοψη'!$C$2:$C289=F$3)), IF(SUMPRODUCT(('Σύνοψη'!$F$2:$F289=$A72)*('Σύνοψη'!$C$2:$C289=F$3)*('Σύνοψη'!$G$2:$G289&lt;$B72)*('Σύνοψη'!$H$2:$H289&gt;$B72))&gt;0, CHAR(34), """") ), """")"),"")</f>
        <v/>
      </c>
      <c r="G72" s="67" t="str">
        <f ca="1">IFERROR(__xludf.DUMMYFUNCTION("IFERROR(IF(SUMPRODUCT(('Σύνοψη'!$F$2:$F289=$A72)*('Σύνοψη'!$C$2:$C289=G$3)*('Σύνοψη'!$G$2:$G289=$B72))&gt;0,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'Σύνοψη'!$C$2:$C289=G$3)), IF(SUMPRODUCT(('Σύνοψη'!$F$2:$F289=$A72)*('Σύνοψη'!$C$2:$C289=G$3)*('Σύνοψη'!$G$2:$G289&lt;$B72)*('Σύνοψη'!$H$2:$H289&gt;$B72))&gt;0, CHAR(34), """") ), """")"),"")</f>
        <v/>
      </c>
      <c r="H72" s="67" t="str">
        <f ca="1">IFERROR(__xludf.DUMMYFUNCTION("IFERROR(IF(SUMPRODUCT(('Σύνοψη'!$F$2:$F289=$A72)*('Σύνοψη'!$C$2:$C289=H$3)*('Σύνοψη'!$G$2:$G289=$B72))&gt;0, TEXTJOIN(CHAR(10) &amp; ""-----------------------"" &amp; CHAR(10), TRUE, FILTER('Σύνοψη'!$E$2:$E289 &amp; "" - "" &amp; 'Σύνοψη'!$I$2:$I289 &amp; "" ("" &amp; 'Σύνοψη'!$J$2"&amp;":$J289 &amp; "")"", 'Σύνοψη'!$F$2:$F289=$A72, 'Σύνοψη'!$G$2:$G289=$B72, 'Σύνοψη'!$C$2:$C289=H$3)), IF(SUMPRODUCT(('Σύνοψη'!$F$2:$F289=$A72)*('Σύνοψη'!$C$2:$C289=H$3)*('Σύνοψη'!$G$2:$G289&lt;$B72)*('Σύνοψη'!$H$2:$H289&gt;$B72))&gt;0, CHAR(34), """") ), """")"),"")</f>
        <v/>
      </c>
      <c r="I72" s="3"/>
    </row>
    <row r="73" spans="1:9" s="104" customFormat="1" x14ac:dyDescent="0.25">
      <c r="A73" s="90">
        <f t="shared" si="4"/>
        <v>46269</v>
      </c>
      <c r="B73" s="91">
        <v>0.875</v>
      </c>
      <c r="C73" s="78" t="str">
        <f ca="1">IFERROR(__xludf.DUMMYFUNCTION("IFERROR(IF(SUMPRODUCT(('Σύνοψη'!$F$2:$F289=$A73)*('Σύνοψη'!$C$2:$C289=C$3)*('Σύνοψη'!$G$2:$G289=$B73))&gt;0,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'Σύνοψη'!$C$2:$C289=C$3)), IF(SUMPRODUCT(('Σύνοψη'!$F$2:$F289=$A73)*('Σύνοψη'!$C$2:$C289=C$3)*('Σύνοψη'!$G$2:$G289&lt;$B73)*('Σύνοψη'!$H$2:$H289&gt;$B73))&gt;0, CHAR(34), """") ), """")"),"")</f>
        <v/>
      </c>
      <c r="D73" s="78" t="str">
        <f ca="1">IFERROR(__xludf.DUMMYFUNCTION("IFERROR(IF(SUMPRODUCT(('Σύνοψη'!$F$2:$F289=$A73)*('Σύνοψη'!$C$2:$C289=D$3)*('Σύνοψη'!$G$2:$G289=$B73))&gt;0,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'Σύνοψη'!$C$2:$C289=D$3)), IF(SUMPRODUCT(('Σύνοψη'!$F$2:$F289=$A73)*('Σύνοψη'!$C$2:$C289=D$3)*('Σύνοψη'!$G$2:$G289&lt;$B73)*('Σύνοψη'!$H$2:$H289&gt;$B73))&gt;0, CHAR(34), """") ), """")"),"")</f>
        <v/>
      </c>
      <c r="E73" s="78" t="str">
        <f ca="1">IFERROR(__xludf.DUMMYFUNCTION("IFERROR(IF(SUMPRODUCT(('Σύνοψη'!$F$2:$F289=$A73)*('Σύνοψη'!$C$2:$C289=E$3)*('Σύνοψη'!$G$2:$G289=$B73))&gt;0,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'Σύνοψη'!$C$2:$C289=E$3)), IF(SUMPRODUCT(('Σύνοψη'!$F$2:$F289=$A73)*('Σύνοψη'!$C$2:$C289=E$3)*('Σύνοψη'!$G$2:$G289&lt;$B73)*('Σύνοψη'!$H$2:$H289&gt;$B73))&gt;0, CHAR(34), """") ), """")"),"")</f>
        <v/>
      </c>
      <c r="F73" s="78" t="str">
        <f ca="1">IFERROR(__xludf.DUMMYFUNCTION("IFERROR(IF(SUMPRODUCT(('Σύνοψη'!$F$2:$F289=$A73)*('Σύνοψη'!$C$2:$C289=F$3)*('Σύνοψη'!$G$2:$G289=$B73))&gt;0,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'Σύνοψη'!$C$2:$C289=F$3)), IF(SUMPRODUCT(('Σύνοψη'!$F$2:$F289=$A73)*('Σύνοψη'!$C$2:$C289=F$3)*('Σύνοψη'!$G$2:$G289&lt;$B73)*('Σύνοψη'!$H$2:$H289&gt;$B73))&gt;0, CHAR(34), """") ), """")"),"")</f>
        <v/>
      </c>
      <c r="G73" s="78" t="str">
        <f ca="1">IFERROR(__xludf.DUMMYFUNCTION("IFERROR(IF(SUMPRODUCT(('Σύνοψη'!$F$2:$F289=$A73)*('Σύνοψη'!$C$2:$C289=G$3)*('Σύνοψη'!$G$2:$G289=$B73))&gt;0,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'Σύνοψη'!$C$2:$C289=G$3)), IF(SUMPRODUCT(('Σύνοψη'!$F$2:$F289=$A73)*('Σύνοψη'!$C$2:$C289=G$3)*('Σύνοψη'!$G$2:$G289&lt;$B73)*('Σύνοψη'!$H$2:$H289&gt;$B73))&gt;0, CHAR(34), """") ), """")"),"")</f>
        <v/>
      </c>
      <c r="H73" s="78" t="str">
        <f ca="1">IFERROR(__xludf.DUMMYFUNCTION("IFERROR(IF(SUMPRODUCT(('Σύνοψη'!$F$2:$F289=$A73)*('Σύνοψη'!$C$2:$C289=H$3)*('Σύνοψη'!$G$2:$G289=$B73))&gt;0, TEXTJOIN(CHAR(10) &amp; ""-----------------------"" &amp; CHAR(10), TRUE, FILTER('Σύνοψη'!$E$2:$E289 &amp; "" - "" &amp; 'Σύνοψη'!$I$2:$I289 &amp; "" ("" &amp; 'Σύνοψη'!$J$2"&amp;":$J289 &amp; "")"", 'Σύνοψη'!$F$2:$F289=$A73, 'Σύνοψη'!$G$2:$G289=$B73, 'Σύνοψη'!$C$2:$C289=H$3)), IF(SUMPRODUCT(('Σύνοψη'!$F$2:$F289=$A73)*('Σύνοψη'!$C$2:$C289=H$3)*('Σύνοψη'!$G$2:$G289&lt;$B73)*('Σύνοψη'!$H$2:$H289&gt;$B73))&gt;0, CHAR(34), """") ), """")"),"")</f>
        <v/>
      </c>
      <c r="I73" s="79"/>
    </row>
    <row r="74" spans="1:9" s="100" customFormat="1" x14ac:dyDescent="0.25">
      <c r="A74" s="92">
        <f>$D$1+5</f>
        <v>46270</v>
      </c>
      <c r="B74" s="89"/>
      <c r="C74" s="80" t="str">
        <f ca="1">IFERROR(__xludf.DUMMYFUNCTION("IFERROR(IF(SUMPRODUCT(('Σύνοψη'!$F$2:$F289=$A74)*('Σύνοψη'!$C$2:$C289=C$3)*('Σύνοψη'!$G$2:$G289=$B74))&gt;0,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'Σύνοψη'!$C$2:$C289=C$3)), IF(SUMPRODUCT(('Σύνοψη'!$F$2:$F289=$A74)*('Σύνοψη'!$C$2:$C289=C$3)*('Σύνοψη'!$G$2:$G289&lt;$B74)*('Σύνοψη'!$H$2:$H289&gt;$B74))&gt;0, CHAR(34), """") ), """")"),"")</f>
        <v/>
      </c>
      <c r="D74" s="80" t="str">
        <f ca="1">IFERROR(__xludf.DUMMYFUNCTION("IFERROR(IF(SUMPRODUCT(('Σύνοψη'!$F$2:$F289=$A74)*('Σύνοψη'!$C$2:$C289=D$3)*('Σύνοψη'!$G$2:$G289=$B74))&gt;0,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'Σύνοψη'!$C$2:$C289=D$3)), IF(SUMPRODUCT(('Σύνοψη'!$F$2:$F289=$A74)*('Σύνοψη'!$C$2:$C289=D$3)*('Σύνοψη'!$G$2:$G289&lt;$B74)*('Σύνοψη'!$H$2:$H289&gt;$B74))&gt;0, CHAR(34), """") ), """")"),"")</f>
        <v/>
      </c>
      <c r="E74" s="80" t="str">
        <f ca="1">IFERROR(__xludf.DUMMYFUNCTION("IFERROR(IF(SUMPRODUCT(('Σύνοψη'!$F$2:$F289=$A74)*('Σύνοψη'!$C$2:$C289=E$3)*('Σύνοψη'!$G$2:$G289=$B74))&gt;0,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'Σύνοψη'!$C$2:$C289=E$3)), IF(SUMPRODUCT(('Σύνοψη'!$F$2:$F289=$A74)*('Σύνοψη'!$C$2:$C289=E$3)*('Σύνοψη'!$G$2:$G289&lt;$B74)*('Σύνοψη'!$H$2:$H289&gt;$B74))&gt;0, CHAR(34), """") ), """")"),"")</f>
        <v/>
      </c>
      <c r="F74" s="80" t="str">
        <f ca="1">IFERROR(__xludf.DUMMYFUNCTION("IFERROR(IF(SUMPRODUCT(('Σύνοψη'!$F$2:$F289=$A74)*('Σύνοψη'!$C$2:$C289=F$3)*('Σύνοψη'!$G$2:$G289=$B74))&gt;0,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'Σύνοψη'!$C$2:$C289=F$3)), IF(SUMPRODUCT(('Σύνοψη'!$F$2:$F289=$A74)*('Σύνοψη'!$C$2:$C289=F$3)*('Σύνοψη'!$G$2:$G289&lt;$B74)*('Σύνοψη'!$H$2:$H289&gt;$B74))&gt;0, CHAR(34), """") ), """")"),"")</f>
        <v/>
      </c>
      <c r="G74" s="80" t="str">
        <f ca="1">IFERROR(__xludf.DUMMYFUNCTION("IFERROR(IF(SUMPRODUCT(('Σύνοψη'!$F$2:$F289=$A74)*('Σύνοψη'!$C$2:$C289=G$3)*('Σύνοψη'!$G$2:$G289=$B74))&gt;0,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'Σύνοψη'!$C$2:$C289=G$3)), IF(SUMPRODUCT(('Σύνοψη'!$F$2:$F289=$A74)*('Σύνοψη'!$C$2:$C289=G$3)*('Σύνοψη'!$G$2:$G289&lt;$B74)*('Σύνοψη'!$H$2:$H289&gt;$B74))&gt;0, CHAR(34), """") ), """")"),"")</f>
        <v/>
      </c>
      <c r="H74" s="80" t="str">
        <f ca="1">IFERROR(__xludf.DUMMYFUNCTION("IFERROR(IF(SUMPRODUCT(('Σύνοψη'!$F$2:$F289=$A74)*('Σύνοψη'!$C$2:$C289=H$3)*('Σύνοψη'!$G$2:$G289=$B74))&gt;0, TEXTJOIN(CHAR(10) &amp; ""-----------------------"" &amp; CHAR(10), TRUE, FILTER('Σύνοψη'!$E$2:$E289 &amp; "" - "" &amp; 'Σύνοψη'!$I$2:$I289 &amp; "" ("" &amp; 'Σύνοψη'!$J$2"&amp;":$J289 &amp; "")"", 'Σύνοψη'!$F$2:$F289=$A74, 'Σύνοψη'!$G$2:$G289=$B74, 'Σύνοψη'!$C$2:$C289=H$3)), IF(SUMPRODUCT(('Σύνοψη'!$F$2:$F289=$A74)*('Σύνοψη'!$C$2:$C289=H$3)*('Σύνοψη'!$G$2:$G289&lt;$B74)*('Σύνοψη'!$H$2:$H289&gt;$B74))&gt;0, CHAR(34), """") ), """")"),"")</f>
        <v/>
      </c>
      <c r="I74" s="3"/>
    </row>
    <row r="75" spans="1:9" s="100" customFormat="1" x14ac:dyDescent="0.25">
      <c r="A75" s="93">
        <f>$D$1+6</f>
        <v>46271</v>
      </c>
      <c r="B75" s="94"/>
      <c r="C75" s="66" t="str">
        <f ca="1">IFERROR(__xludf.DUMMYFUNCTION("IFERROR(IF(SUMPRODUCT(('Σύνοψη'!$F$2:$F289=$A75)*('Σύνοψη'!$C$2:$C289=C$3)*('Σύνοψη'!$G$2:$G289=$B75))&gt;0,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'Σύνοψη'!$C$2:$C289=C$3)), IF(SUMPRODUCT(('Σύνοψη'!$F$2:$F289=$A75)*('Σύνοψη'!$C$2:$C289=C$3)*('Σύνοψη'!$G$2:$G289&lt;$B75)*('Σύνοψη'!$H$2:$H289&gt;$B75))&gt;0, CHAR(34), """") ), """")"),"")</f>
        <v/>
      </c>
      <c r="D75" s="66" t="str">
        <f ca="1">IFERROR(__xludf.DUMMYFUNCTION("IFERROR(IF(SUMPRODUCT(('Σύνοψη'!$F$2:$F289=$A75)*('Σύνοψη'!$C$2:$C289=D$3)*('Σύνοψη'!$G$2:$G289=$B75))&gt;0,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'Σύνοψη'!$C$2:$C289=D$3)), IF(SUMPRODUCT(('Σύνοψη'!$F$2:$F289=$A75)*('Σύνοψη'!$C$2:$C289=D$3)*('Σύνοψη'!$G$2:$G289&lt;$B75)*('Σύνοψη'!$H$2:$H289&gt;$B75))&gt;0, CHAR(34), """") ), """")"),"")</f>
        <v/>
      </c>
      <c r="E75" s="66" t="str">
        <f ca="1">IFERROR(__xludf.DUMMYFUNCTION("IFERROR(IF(SUMPRODUCT(('Σύνοψη'!$F$2:$F289=$A75)*('Σύνοψη'!$C$2:$C289=E$3)*('Σύνοψη'!$G$2:$G289=$B75))&gt;0,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'Σύνοψη'!$C$2:$C289=E$3)), IF(SUMPRODUCT(('Σύνοψη'!$F$2:$F289=$A75)*('Σύνοψη'!$C$2:$C289=E$3)*('Σύνοψη'!$G$2:$G289&lt;$B75)*('Σύνοψη'!$H$2:$H289&gt;$B75))&gt;0, CHAR(34), """") ), """")"),"")</f>
        <v/>
      </c>
      <c r="F75" s="66" t="str">
        <f ca="1">IFERROR(__xludf.DUMMYFUNCTION("IFERROR(IF(SUMPRODUCT(('Σύνοψη'!$F$2:$F289=$A75)*('Σύνοψη'!$C$2:$C289=F$3)*('Σύνοψη'!$G$2:$G289=$B75))&gt;0,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'Σύνοψη'!$C$2:$C289=F$3)), IF(SUMPRODUCT(('Σύνοψη'!$F$2:$F289=$A75)*('Σύνοψη'!$C$2:$C289=F$3)*('Σύνοψη'!$G$2:$G289&lt;$B75)*('Σύνοψη'!$H$2:$H289&gt;$B75))&gt;0, CHAR(34), """") ), """")"),"")</f>
        <v/>
      </c>
      <c r="G75" s="66" t="str">
        <f ca="1">IFERROR(__xludf.DUMMYFUNCTION("IFERROR(IF(SUMPRODUCT(('Σύνοψη'!$F$2:$F289=$A75)*('Σύνοψη'!$C$2:$C289=G$3)*('Σύνοψη'!$G$2:$G289=$B75))&gt;0,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'Σύνοψη'!$C$2:$C289=G$3)), IF(SUMPRODUCT(('Σύνοψη'!$F$2:$F289=$A75)*('Σύνοψη'!$C$2:$C289=G$3)*('Σύνοψη'!$G$2:$G289&lt;$B75)*('Σύνοψη'!$H$2:$H289&gt;$B75))&gt;0, CHAR(34), """") ), """")"),"")</f>
        <v/>
      </c>
      <c r="H75" s="66" t="str">
        <f ca="1">IFERROR(__xludf.DUMMYFUNCTION("IFERROR(IF(SUMPRODUCT(('Σύνοψη'!$F$2:$F289=$A75)*('Σύνοψη'!$C$2:$C289=H$3)*('Σύνοψη'!$G$2:$G289=$B75))&gt;0, TEXTJOIN(CHAR(10) &amp; ""-----------------------"" &amp; CHAR(10), TRUE, FILTER('Σύνοψη'!$E$2:$E289 &amp; "" - "" &amp; 'Σύνοψη'!$I$2:$I289 &amp; "" ("" &amp; 'Σύνοψη'!$J$2"&amp;":$J289 &amp; "")"", 'Σύνοψη'!$F$2:$F289=$A75, 'Σύνοψη'!$G$2:$G289=$B75, 'Σύνοψη'!$C$2:$C289=H$3)), IF(SUMPRODUCT(('Σύνοψη'!$F$2:$F289=$A75)*('Σύνοψη'!$C$2:$C289=H$3)*('Σύνοψη'!$G$2:$G289&lt;$B75)*('Σύνοψη'!$H$2:$H289&gt;$B75))&gt;0, CHAR(34), """") ), """")"),"")</f>
        <v/>
      </c>
      <c r="I75" s="3"/>
    </row>
    <row r="76" spans="1:9" s="102" customFormat="1" ht="45" x14ac:dyDescent="0.25">
      <c r="A76" s="86">
        <f>$D$1+7</f>
        <v>46272</v>
      </c>
      <c r="B76" s="87">
        <v>0.33333333333333331</v>
      </c>
      <c r="C76" s="76" t="str">
        <f ca="1">IFERROR(__xludf.DUMMYFUNCTION("IFERROR(IF(SUMPRODUCT(('Σύνοψη'!$F$2:$F289=$A76)*('Σύνοψη'!$C$2:$C289=C$3)*('Σύνοψη'!$G$2:$G289=$B76))&gt;0,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'Σύνοψη'!$C$2:$C289=C$3)), IF(SUMPRODUCT(('Σύνοψη'!$F$2:$F289=$A76)*('Σύνοψη'!$C$2:$C289=C$3)*('Σύνοψη'!$G$2:$G289&lt;$B76)*('Σύνοψη'!$H$2:$H289&gt;$B76))&gt;0, CHAR(34), """") ), """")"),"")</f>
        <v/>
      </c>
      <c r="D76" s="76" t="str">
        <f ca="1">IFERROR(__xludf.DUMMYFUNCTION("IFERROR(IF(SUMPRODUCT(('Σύνοψη'!$F$2:$F289=$A76)*('Σύνοψη'!$C$2:$C289=D$3)*('Σύνοψη'!$G$2:$G289=$B76))&gt;0,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'Σύνοψη'!$C$2:$C289=D$3)), IF(SUMPRODUCT(('Σύνοψη'!$F$2:$F289=$A76)*('Σύνοψη'!$C$2:$C289=D$3)*('Σύνοψη'!$G$2:$G289&lt;$B76)*('Σύνοψη'!$H$2:$H289&gt;$B76))&gt;0, CHAR(34), """") ), """")"),"")</f>
        <v/>
      </c>
      <c r="E76" s="76" t="str">
        <f ca="1">IFERROR(__xludf.DUMMYFUNCTION("IFERROR(IF(SUMPRODUCT(('Σύνοψη'!$F$2:$F289=$A76)*('Σύνοψη'!$C$2:$C289=E$3)*('Σύνοψη'!$G$2:$G289=$B76))&gt;0,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'Σύνοψη'!$C$2:$C289=E$3)), IF(SUMPRODUCT(('Σύνοψη'!$F$2:$F289=$A76)*('Σύνοψη'!$C$2:$C289=E$3)*('Σύνοψη'!$G$2:$G289&lt;$B76)*('Σύνοψη'!$H$2:$H289&gt;$B76))&gt;0, CHAR(34), """") ), """")"),"")</f>
        <v/>
      </c>
      <c r="F76" s="76" t="str">
        <f ca="1">IFERROR(__xludf.DUMMYFUNCTION("IFERROR(IF(SUMPRODUCT(('Σύνοψη'!$F$2:$F289=$A76)*('Σύνοψη'!$C$2:$C289=F$3)*('Σύνοψη'!$G$2:$G289=$B76))&gt;0,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'Σύνοψη'!$C$2:$C289=F$3)), IF(SUMPRODUCT(('Σύνοψη'!$F$2:$F289=$A76)*('Σύνοψη'!$C$2:$C289=F$3)*('Σύνοψη'!$G$2:$G289&lt;$B76)*('Σύνοψη'!$H$2:$H289&gt;$B76))&gt;0, CHAR(34), """") ), """")"),"")</f>
        <v/>
      </c>
      <c r="G76" s="76" t="str">
        <f ca="1">IFERROR(__xludf.DUMMYFUNCTION("IFERROR(IF(SUMPRODUCT(('Σύνοψη'!$F$2:$F289=$A76)*('Σύνοψη'!$C$2:$C289=G$3)*('Σύνοψη'!$G$2:$G289=$B76))&gt;0,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'Σύνοψη'!$C$2:$C289=G$3)), IF(SUMPRODUCT(('Σύνοψη'!$F$2:$F289=$A76)*('Σύνοψη'!$C$2:$C289=G$3)*('Σύνοψη'!$G$2:$G289&lt;$B76)*('Σύνοψη'!$H$2:$H289&gt;$B76))&gt;0, CHAR(34), """") ), """")"),"Πρακτική Άσκηση στην Υγιεινή Τροφίμων ΙΙ (Σφαγείο) - 08:00 - 11:00 (Σφαγείο)")</f>
        <v>Πρακτική Άσκηση στην Υγιεινή Τροφίμων ΙΙ (Σφαγείο) - 08:00 - 11:00 (Σφαγείο)</v>
      </c>
      <c r="H76" s="76" t="str">
        <f ca="1">IFERROR(__xludf.DUMMYFUNCTION("IFERROR(IF(SUMPRODUCT(('Σύνοψη'!$F$2:$F289=$A76)*('Σύνοψη'!$C$2:$C289=H$3)*('Σύνοψη'!$G$2:$G289=$B76))&gt;0, TEXTJOIN(CHAR(10) &amp; ""-----------------------"" &amp; CHAR(10), TRUE, FILTER('Σύνοψη'!$E$2:$E289 &amp; "" - "" &amp; 'Σύνοψη'!$I$2:$I289 &amp; "" ("" &amp; 'Σύνοψη'!$J$2"&amp;":$J289 &amp; "")"", 'Σύνοψη'!$F$2:$F289=$A76, 'Σύνοψη'!$G$2:$G289=$B76, 'Σύνοψη'!$C$2:$C289=H$3)), IF(SUMPRODUCT(('Σύνοψη'!$F$2:$F289=$A76)*('Σύνοψη'!$C$2:$C289=H$3)*('Σύνοψη'!$G$2:$G289&lt;$B76)*('Σύνοψη'!$H$2:$H289&gt;$B76))&gt;0, CHAR(34), """") ), """")"),"Υγιεινή τροφίμων ΙΙΙ (ΠΠΣ) (Σφαγείο) - 08:00 - 11:00 (Σφαγείο)")</f>
        <v>Υγιεινή τροφίμων ΙΙΙ (ΠΠΣ) (Σφαγείο) - 08:00 - 11:00 (Σφαγείο)</v>
      </c>
      <c r="I76" s="77"/>
    </row>
    <row r="77" spans="1:9" s="103" customFormat="1" ht="30" x14ac:dyDescent="0.25">
      <c r="A77" s="88">
        <f t="shared" ref="A77:A89" si="5">$A$76</f>
        <v>46272</v>
      </c>
      <c r="B77" s="89">
        <v>0.375</v>
      </c>
      <c r="C77" s="67" t="str">
        <f ca="1">IFERROR(__xludf.DUMMYFUNCTION("IFERROR(IF(SUMPRODUCT(('Σύνοψη'!$F$2:$F289=$A77)*('Σύνοψη'!$C$2:$C289=C$3)*('Σύνοψη'!$G$2:$G289=$B77))&gt;0,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'Σύνοψη'!$C$2:$C289=C$3)), IF(SUMPRODUCT(('Σύνοψη'!$F$2:$F289=$A77)*('Σύνοψη'!$C$2:$C289=C$3)*('Σύνοψη'!$G$2:$G289&lt;$B77)*('Σύνοψη'!$H$2:$H289&gt;$B77))&gt;0, CHAR(34), """") ), """")"),"")</f>
        <v/>
      </c>
      <c r="D77" s="67" t="str">
        <f ca="1">IFERROR(__xludf.DUMMYFUNCTION("IFERROR(IF(SUMPRODUCT(('Σύνοψη'!$F$2:$F289=$A77)*('Σύνοψη'!$C$2:$C289=D$3)*('Σύνοψη'!$G$2:$G289=$B77))&gt;0,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'Σύνοψη'!$C$2:$C289=D$3)), IF(SUMPRODUCT(('Σύνοψη'!$F$2:$F289=$A77)*('Σύνοψη'!$C$2:$C289=D$3)*('Σύνοψη'!$G$2:$G289&lt;$B77)*('Σύνοψη'!$H$2:$H289&gt;$B77))&gt;0, CHAR(34), """") ), """")"),"Γενική Μικροβιολογία - 09:00 - 12:00 (Αμφιθέατρα)")</f>
        <v>Γενική Μικροβιολογία - 09:00 - 12:00 (Αμφιθέατρα)</v>
      </c>
      <c r="E77" s="67" t="str">
        <f ca="1">IFERROR(__xludf.DUMMYFUNCTION("IFERROR(IF(SUMPRODUCT(('Σύνοψη'!$F$2:$F289=$A77)*('Σύνοψη'!$C$2:$C289=E$3)*('Σύνοψη'!$G$2:$G289=$B77))&gt;0,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'Σύνοψη'!$C$2:$C289=E$3)), IF(SUMPRODUCT(('Σύνοψη'!$F$2:$F289=$A77)*('Σύνοψη'!$C$2:$C289=E$3)*('Σύνοψη'!$G$2:$G289&lt;$B77)*('Σύνοψη'!$H$2:$H289&gt;$B77))&gt;0, CHAR(34), """") ), """")"),"")</f>
        <v/>
      </c>
      <c r="F77" s="67" t="str">
        <f ca="1">IFERROR(__xludf.DUMMYFUNCTION("IFERROR(IF(SUMPRODUCT(('Σύνοψη'!$F$2:$F289=$A77)*('Σύνοψη'!$C$2:$C289=F$3)*('Σύνοψη'!$G$2:$G289=$B77))&gt;0,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'Σύνοψη'!$C$2:$C289=F$3)), IF(SUMPRODUCT(('Σύνοψη'!$F$2:$F289=$A77)*('Σύνοψη'!$C$2:$C289=F$3)*('Σύνοψη'!$G$2:$G289&lt;$B77)*('Σύνοψη'!$H$2:$H289&gt;$B77))&gt;0, CHAR(34), """") ), """")"),"")</f>
        <v/>
      </c>
      <c r="G77" s="67" t="str">
        <f ca="1">IFERROR(__xludf.DUMMYFUNCTION("IFERROR(IF(SUMPRODUCT(('Σύνοψη'!$F$2:$F289=$A77)*('Σύνοψη'!$C$2:$C289=G$3)*('Σύνοψη'!$G$2:$G289=$B77))&gt;0,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'Σύνοψη'!$C$2:$C289=G$3)), IF(SUMPRODUCT(('Σύνοψη'!$F$2:$F289=$A77)*('Σύνοψη'!$C$2:$C289=G$3)*('Σύνοψη'!$G$2:$G289&lt;$B77)*('Σύνοψη'!$H$2:$H289&gt;$B77))&gt;0, CHAR(34), """") ), """")"),"""")</f>
        <v>"</v>
      </c>
      <c r="H77" s="67" t="str">
        <f ca="1">IFERROR(__xludf.DUMMYFUNCTION("IFERROR(IF(SUMPRODUCT(('Σύνοψη'!$F$2:$F289=$A77)*('Σύνοψη'!$C$2:$C289=H$3)*('Σύνοψη'!$G$2:$G289=$B77))&gt;0, TEXTJOIN(CHAR(10) &amp; ""-----------------------"" &amp; CHAR(10), TRUE, FILTER('Σύνοψη'!$E$2:$E289 &amp; "" - "" &amp; 'Σύνοψη'!$I$2:$I289 &amp; "" ("" &amp; 'Σύνοψη'!$J$2"&amp;":$J289 &amp; "")"", 'Σύνοψη'!$F$2:$F289=$A77, 'Σύνοψη'!$G$2:$G289=$B77, 'Σύνοψη'!$C$2:$C289=H$3)), IF(SUMPRODUCT(('Σύνοψη'!$F$2:$F289=$A77)*('Σύνοψη'!$C$2:$C289=H$3)*('Σύνοψη'!$G$2:$G289&lt;$B77)*('Σύνοψη'!$H$2:$H289&gt;$B77))&gt;0, CHAR(34), """") ), """")"),"Μικροβιολογία 1 (ΠΠΣ) - 09:00 - 12:00 (Αμφιθέατρα)")</f>
        <v>Μικροβιολογία 1 (ΠΠΣ) - 09:00 - 12:00 (Αμφιθέατρα)</v>
      </c>
      <c r="I77" s="3"/>
    </row>
    <row r="78" spans="1:9" s="103" customFormat="1" x14ac:dyDescent="0.25">
      <c r="A78" s="88">
        <f t="shared" si="5"/>
        <v>46272</v>
      </c>
      <c r="B78" s="89">
        <v>0.41666666666666669</v>
      </c>
      <c r="C78" s="67" t="str">
        <f ca="1">IFERROR(__xludf.DUMMYFUNCTION("IFERROR(IF(SUMPRODUCT(('Σύνοψη'!$F$2:$F289=$A78)*('Σύνοψη'!$C$2:$C289=C$3)*('Σύνοψη'!$G$2:$G289=$B78))&gt;0,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'Σύνοψη'!$C$2:$C289=C$3)), IF(SUMPRODUCT(('Σύνοψη'!$F$2:$F289=$A78)*('Σύνοψη'!$C$2:$C289=C$3)*('Σύνοψη'!$G$2:$G289&lt;$B78)*('Σύνοψη'!$H$2:$H289&gt;$B78))&gt;0, CHAR(34), """") ), """")"),"")</f>
        <v/>
      </c>
      <c r="D78" s="67" t="str">
        <f ca="1">IFERROR(__xludf.DUMMYFUNCTION("IFERROR(IF(SUMPRODUCT(('Σύνοψη'!$F$2:$F289=$A78)*('Σύνοψη'!$C$2:$C289=D$3)*('Σύνοψη'!$G$2:$G289=$B78))&gt;0,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'Σύνοψη'!$C$2:$C289=D$3)), IF(SUMPRODUCT(('Σύνοψη'!$F$2:$F289=$A78)*('Σύνοψη'!$C$2:$C289=D$3)*('Σύνοψη'!$G$2:$G289&lt;$B78)*('Σύνοψη'!$H$2:$H289&gt;$B78))&gt;0, CHAR(34), """") ), """")"),"""")</f>
        <v>"</v>
      </c>
      <c r="E78" s="67" t="str">
        <f ca="1">IFERROR(__xludf.DUMMYFUNCTION("IFERROR(IF(SUMPRODUCT(('Σύνοψη'!$F$2:$F289=$A78)*('Σύνοψη'!$C$2:$C289=E$3)*('Σύνοψη'!$G$2:$G289=$B78))&gt;0,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'Σύνοψη'!$C$2:$C289=E$3)), IF(SUMPRODUCT(('Σύνοψη'!$F$2:$F289=$A78)*('Σύνοψη'!$C$2:$C289=E$3)*('Σύνοψη'!$G$2:$G289&lt;$B78)*('Σύνοψη'!$H$2:$H289&gt;$B78))&gt;0, CHAR(34), """") ), """")"),"")</f>
        <v/>
      </c>
      <c r="F78" s="67" t="str">
        <f ca="1">IFERROR(__xludf.DUMMYFUNCTION("IFERROR(IF(SUMPRODUCT(('Σύνοψη'!$F$2:$F289=$A78)*('Σύνοψη'!$C$2:$C289=F$3)*('Σύνοψη'!$G$2:$G289=$B78))&gt;0,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'Σύνοψη'!$C$2:$C289=F$3)), IF(SUMPRODUCT(('Σύνοψη'!$F$2:$F289=$A78)*('Σύνοψη'!$C$2:$C289=F$3)*('Σύνοψη'!$G$2:$G289&lt;$B78)*('Σύνοψη'!$H$2:$H289&gt;$B78))&gt;0, CHAR(34), """") ), """")"),"")</f>
        <v/>
      </c>
      <c r="G78" s="67" t="str">
        <f ca="1">IFERROR(__xludf.DUMMYFUNCTION("IFERROR(IF(SUMPRODUCT(('Σύνοψη'!$F$2:$F289=$A78)*('Σύνοψη'!$C$2:$C289=G$3)*('Σύνοψη'!$G$2:$G289=$B78))&gt;0,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'Σύνοψη'!$C$2:$C289=G$3)), IF(SUMPRODUCT(('Σύνοψη'!$F$2:$F289=$A78)*('Σύνοψη'!$C$2:$C289=G$3)*('Σύνοψη'!$G$2:$G289&lt;$B78)*('Σύνοψη'!$H$2:$H289&gt;$B78))&gt;0, CHAR(34), """") ), """")"),"""")</f>
        <v>"</v>
      </c>
      <c r="H78" s="67" t="str">
        <f ca="1">IFERROR(__xludf.DUMMYFUNCTION("IFERROR(IF(SUMPRODUCT(('Σύνοψη'!$F$2:$F289=$A78)*('Σύνοψη'!$C$2:$C289=H$3)*('Σύνοψη'!$G$2:$G289=$B78))&gt;0, TEXTJOIN(CHAR(10) &amp; ""-----------------------"" &amp; CHAR(10), TRUE, FILTER('Σύνοψη'!$E$2:$E289 &amp; "" - "" &amp; 'Σύνοψη'!$I$2:$I289 &amp; "" ("" &amp; 'Σύνοψη'!$J$2"&amp;":$J289 &amp; "")"", 'Σύνοψη'!$F$2:$F289=$A78, 'Σύνοψη'!$G$2:$G289=$B78, 'Σύνοψη'!$C$2:$C289=H$3)), IF(SUMPRODUCT(('Σύνοψη'!$F$2:$F289=$A78)*('Σύνοψη'!$C$2:$C289=H$3)*('Σύνοψη'!$G$2:$G289&lt;$B78)*('Σύνοψη'!$H$2:$H289&gt;$B78))&gt;0, CHAR(34), """") ), """")"),"""")</f>
        <v>"</v>
      </c>
      <c r="I78" s="3"/>
    </row>
    <row r="79" spans="1:9" s="103" customFormat="1" x14ac:dyDescent="0.25">
      <c r="A79" s="88">
        <f t="shared" si="5"/>
        <v>46272</v>
      </c>
      <c r="B79" s="89">
        <v>0.45833333333333331</v>
      </c>
      <c r="C79" s="67" t="str">
        <f ca="1">IFERROR(__xludf.DUMMYFUNCTION("IFERROR(IF(SUMPRODUCT(('Σύνοψη'!$F$2:$F289=$A79)*('Σύνοψη'!$C$2:$C289=C$3)*('Σύνοψη'!$G$2:$G289=$B79))&gt;0,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'Σύνοψη'!$C$2:$C289=C$3)), IF(SUMPRODUCT(('Σύνοψη'!$F$2:$F289=$A79)*('Σύνοψη'!$C$2:$C289=C$3)*('Σύνοψη'!$G$2:$G289&lt;$B79)*('Σύνοψη'!$H$2:$H289&gt;$B79))&gt;0, CHAR(34), """") ), """")"),"")</f>
        <v/>
      </c>
      <c r="D79" s="67" t="str">
        <f ca="1">IFERROR(__xludf.DUMMYFUNCTION("IFERROR(IF(SUMPRODUCT(('Σύνοψη'!$F$2:$F289=$A79)*('Σύνοψη'!$C$2:$C289=D$3)*('Σύνοψη'!$G$2:$G289=$B79))&gt;0,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'Σύνοψη'!$C$2:$C289=D$3)), IF(SUMPRODUCT(('Σύνοψη'!$F$2:$F289=$A79)*('Σύνοψη'!$C$2:$C289=D$3)*('Σύνοψη'!$G$2:$G289&lt;$B79)*('Σύνοψη'!$H$2:$H289&gt;$B79))&gt;0, CHAR(34), """") ), """")"),"""")</f>
        <v>"</v>
      </c>
      <c r="E79" s="67" t="str">
        <f ca="1">IFERROR(__xludf.DUMMYFUNCTION("IFERROR(IF(SUMPRODUCT(('Σύνοψη'!$F$2:$F289=$A79)*('Σύνοψη'!$C$2:$C289=E$3)*('Σύνοψη'!$G$2:$G289=$B79))&gt;0,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'Σύνοψη'!$C$2:$C289=E$3)), IF(SUMPRODUCT(('Σύνοψη'!$F$2:$F289=$A79)*('Σύνοψη'!$C$2:$C289=E$3)*('Σύνοψη'!$G$2:$G289&lt;$B79)*('Σύνοψη'!$H$2:$H289&gt;$B79))&gt;0, CHAR(34), """") ), """")"),"")</f>
        <v/>
      </c>
      <c r="F79" s="67" t="str">
        <f ca="1">IFERROR(__xludf.DUMMYFUNCTION("IFERROR(IF(SUMPRODUCT(('Σύνοψη'!$F$2:$F289=$A79)*('Σύνοψη'!$C$2:$C289=F$3)*('Σύνοψη'!$G$2:$G289=$B79))&gt;0,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'Σύνοψη'!$C$2:$C289=F$3)), IF(SUMPRODUCT(('Σύνοψη'!$F$2:$F289=$A79)*('Σύνοψη'!$C$2:$C289=F$3)*('Σύνοψη'!$G$2:$G289&lt;$B79)*('Σύνοψη'!$H$2:$H289&gt;$B79))&gt;0, CHAR(34), """") ), """")"),"")</f>
        <v/>
      </c>
      <c r="G79" s="67" t="str">
        <f ca="1">IFERROR(__xludf.DUMMYFUNCTION("IFERROR(IF(SUMPRODUCT(('Σύνοψη'!$F$2:$F289=$A79)*('Σύνοψη'!$C$2:$C289=G$3)*('Σύνοψη'!$G$2:$G289=$B79))&gt;0,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'Σύνοψη'!$C$2:$C289=G$3)), IF(SUMPRODUCT(('Σύνοψη'!$F$2:$F289=$A79)*('Σύνοψη'!$C$2:$C289=G$3)*('Σύνοψη'!$G$2:$G289&lt;$B79)*('Σύνοψη'!$H$2:$H289&gt;$B79))&gt;0, CHAR(34), """") ), """")"),"")</f>
        <v/>
      </c>
      <c r="H79" s="67" t="str">
        <f ca="1">IFERROR(__xludf.DUMMYFUNCTION("IFERROR(IF(SUMPRODUCT(('Σύνοψη'!$F$2:$F289=$A79)*('Σύνοψη'!$C$2:$C289=H$3)*('Σύνοψη'!$G$2:$G289=$B79))&gt;0, TEXTJOIN(CHAR(10) &amp; ""-----------------------"" &amp; CHAR(10), TRUE, FILTER('Σύνοψη'!$E$2:$E289 &amp; "" - "" &amp; 'Σύνοψη'!$I$2:$I289 &amp; "" ("" &amp; 'Σύνοψη'!$J$2"&amp;":$J289 &amp; "")"", 'Σύνοψη'!$F$2:$F289=$A79, 'Σύνοψη'!$G$2:$G289=$B79, 'Σύνοψη'!$C$2:$C289=H$3)), IF(SUMPRODUCT(('Σύνοψη'!$F$2:$F289=$A79)*('Σύνοψη'!$C$2:$C289=H$3)*('Σύνοψη'!$G$2:$G289&lt;$B79)*('Σύνοψη'!$H$2:$H289&gt;$B79))&gt;0, CHAR(34), """") ), """")"),"""")</f>
        <v>"</v>
      </c>
      <c r="I79" s="3"/>
    </row>
    <row r="80" spans="1:9" s="103" customFormat="1" ht="75" x14ac:dyDescent="0.25">
      <c r="A80" s="88">
        <f t="shared" si="5"/>
        <v>46272</v>
      </c>
      <c r="B80" s="89">
        <v>0.5</v>
      </c>
      <c r="C80" s="67" t="str">
        <f ca="1">IFERROR(__xludf.DUMMYFUNCTION("IFERROR(IF(SUMPRODUCT(('Σύνοψη'!$F$2:$F289=$A80)*('Σύνοψη'!$C$2:$C289=C$3)*('Σύνοψη'!$G$2:$G289=$B80))&gt;0,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'Σύνοψη'!$C$2:$C289=C$3)), IF(SUMPRODUCT(('Σύνοψη'!$F$2:$F289=$A80)*('Σύνοψη'!$C$2:$C289=C$3)*('Σύνοψη'!$G$2:$G289&lt;$B80)*('Σύνοψη'!$H$2:$H289&gt;$B80))&gt;0, CHAR(34), """") ), """")"),"")</f>
        <v/>
      </c>
      <c r="D80" s="67" t="str">
        <f ca="1">IFERROR(__xludf.DUMMYFUNCTION("IFERROR(IF(SUMPRODUCT(('Σύνοψη'!$F$2:$F289=$A80)*('Σύνοψη'!$C$2:$C289=D$3)*('Σύνοψη'!$G$2:$G289=$B80))&gt;0,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'Σύνοψη'!$C$2:$C289=D$3)), IF(SUMPRODUCT(('Σύνοψη'!$F$2:$F289=$A80)*('Σύνοψη'!$C$2:$C289=D$3)*('Σύνοψη'!$G$2:$G289&lt;$B80)*('Σύνοψη'!$H$2:$H289&gt;$B80))&gt;0, CHAR(34), """") ), """")"),"")</f>
        <v/>
      </c>
      <c r="E80" s="67" t="str">
        <f ca="1">IFERROR(__xludf.DUMMYFUNCTION("IFERROR(IF(SUMPRODUCT(('Σύνοψη'!$F$2:$F289=$A80)*('Σύνοψη'!$C$2:$C289=E$3)*('Σύνοψη'!$G$2:$G289=$B80))&gt;0,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'Σύνοψη'!$C$2:$C289=E$3)), IF(SUMPRODUCT(('Σύνοψη'!$F$2:$F289=$A80)*('Σύνοψη'!$C$2:$C289=E$3)*('Σύνοψη'!$G$2:$G289&lt;$B80)*('Σύνοψη'!$H$2:$H289&gt;$B80))&gt;0, CHAR(34), """") ), """")"),"Υγιεινή &amp; Τεχνολογία του Γάλακτος &amp; των Γαλακτοκομικών Προϊόντων &amp; Σχετική Νομοθεσία (Εργαστήριο) - 12:00 - 14:00 (Εργαστήριο Υγιεινής)")</f>
        <v>Υγιεινή &amp; Τεχνολογία του Γάλακτος &amp; των Γαλακτοκομικών Προϊόντων &amp; Σχετική Νομοθεσία (Εργαστήριο) - 12:00 - 14:00 (Εργαστήριο Υγιεινής)</v>
      </c>
      <c r="F80" s="67" t="str">
        <f ca="1">IFERROR(__xludf.DUMMYFUNCTION("IFERROR(IF(SUMPRODUCT(('Σύνοψη'!$F$2:$F289=$A80)*('Σύνοψη'!$C$2:$C289=F$3)*('Σύνοψη'!$G$2:$G289=$B80))&gt;0,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'Σύνοψη'!$C$2:$C289=F$3)), IF(SUMPRODUCT(('Σύνοψη'!$F$2:$F289=$A80)*('Σύνοψη'!$C$2:$C289=F$3)*('Σύνοψη'!$G$2:$G289&lt;$B80)*('Σύνοψη'!$H$2:$H289&gt;$B80))&gt;0, CHAR(34), """") ), """")"),"Διαγνωστική Παθολογική Ανατομική - Κτηνιατροδικαστική ΙΙ - 12:00 - 15:00 (Νέες Αίθουσες)")</f>
        <v>Διαγνωστική Παθολογική Ανατομική - Κτηνιατροδικαστική ΙΙ - 12:00 - 15:00 (Νέες Αίθουσες)</v>
      </c>
      <c r="G80" s="67" t="str">
        <f ca="1">IFERROR(__xludf.DUMMYFUNCTION("IFERROR(IF(SUMPRODUCT(('Σύνοψη'!$F$2:$F289=$A80)*('Σύνοψη'!$C$2:$C289=G$3)*('Σύνοψη'!$G$2:$G289=$B80))&gt;0,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'Σύνοψη'!$C$2:$C289=G$3)), IF(SUMPRODUCT(('Σύνοψη'!$F$2:$F289=$A80)*('Σύνοψη'!$C$2:$C289=G$3)*('Σύνοψη'!$G$2:$G289&lt;$B80)*('Σύνοψη'!$H$2:$H289&gt;$B80))&gt;0, CHAR(34), """") ), """")"),"")</f>
        <v/>
      </c>
      <c r="H80" s="67" t="str">
        <f ca="1">IFERROR(__xludf.DUMMYFUNCTION("IFERROR(IF(SUMPRODUCT(('Σύνοψη'!$F$2:$F289=$A80)*('Σύνοψη'!$C$2:$C289=H$3)*('Σύνοψη'!$G$2:$G289=$B80))&gt;0, TEXTJOIN(CHAR(10) &amp; ""-----------------------"" &amp; CHAR(10), TRUE, FILTER('Σύνοψη'!$E$2:$E289 &amp; "" - "" &amp; 'Σύνοψη'!$I$2:$I289 &amp; "" ("" &amp; 'Σύνοψη'!$J$2"&amp;":$J289 &amp; "")"", 'Σύνοψη'!$F$2:$F289=$A80, 'Σύνοψη'!$G$2:$G289=$B80, 'Σύνοψη'!$C$2:$C289=H$3)), IF(SUMPRODUCT(('Σύνοψη'!$F$2:$F289=$A80)*('Σύνοψη'!$C$2:$C289=H$3)*('Σύνοψη'!$G$2:$G289&lt;$B80)*('Σύνοψη'!$H$2:$H289&gt;$B80))&gt;0, CHAR(34), """") ), """")"),"Διαγνωστική Παθολογική Αντομική Ι (ΔΠΑ Ι - ζώα αναψυχής) (ΠΠΣ) - 12:00 - 15:00 (Νέες Αίθουσες)")</f>
        <v>Διαγνωστική Παθολογική Αντομική Ι (ΔΠΑ Ι - ζώα αναψυχής) (ΠΠΣ) - 12:00 - 15:00 (Νέες Αίθουσες)</v>
      </c>
      <c r="I80" s="3"/>
    </row>
    <row r="81" spans="1:9" s="103" customFormat="1" x14ac:dyDescent="0.25">
      <c r="A81" s="88">
        <f t="shared" si="5"/>
        <v>46272</v>
      </c>
      <c r="B81" s="89">
        <v>0.54166666666666663</v>
      </c>
      <c r="C81" s="67" t="str">
        <f ca="1">IFERROR(__xludf.DUMMYFUNCTION("IFERROR(IF(SUMPRODUCT(('Σύνοψη'!$F$2:$F289=$A81)*('Σύνοψη'!$C$2:$C289=C$3)*('Σύνοψη'!$G$2:$G289=$B81))&gt;0,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'Σύνοψη'!$C$2:$C289=C$3)), IF(SUMPRODUCT(('Σύνοψη'!$F$2:$F289=$A81)*('Σύνοψη'!$C$2:$C289=C$3)*('Σύνοψη'!$G$2:$G289&lt;$B81)*('Σύνοψη'!$H$2:$H289&gt;$B81))&gt;0, CHAR(34), """") ), """")"),"")</f>
        <v/>
      </c>
      <c r="D81" s="67" t="str">
        <f ca="1">IFERROR(__xludf.DUMMYFUNCTION("IFERROR(IF(SUMPRODUCT(('Σύνοψη'!$F$2:$F289=$A81)*('Σύνοψη'!$C$2:$C289=D$3)*('Σύνοψη'!$G$2:$G289=$B81))&gt;0,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'Σύνοψη'!$C$2:$C289=D$3)), IF(SUMPRODUCT(('Σύνοψη'!$F$2:$F289=$A81)*('Σύνοψη'!$C$2:$C289=D$3)*('Σύνοψη'!$G$2:$G289&lt;$B81)*('Σύνοψη'!$H$2:$H289&gt;$B81))&gt;0, CHAR(34), """") ), """")"),"")</f>
        <v/>
      </c>
      <c r="E81" s="67" t="str">
        <f ca="1">IFERROR(__xludf.DUMMYFUNCTION("IFERROR(IF(SUMPRODUCT(('Σύνοψη'!$F$2:$F289=$A81)*('Σύνοψη'!$C$2:$C289=E$3)*('Σύνοψη'!$G$2:$G289=$B81))&gt;0,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'Σύνοψη'!$C$2:$C289=E$3)), IF(SUMPRODUCT(('Σύνοψη'!$F$2:$F289=$A81)*('Σύνοψη'!$C$2:$C289=E$3)*('Σύνοψη'!$G$2:$G289&lt;$B81)*('Σύνοψη'!$H$2:$H289&gt;$B81))&gt;0, CHAR(34), """") ), """")"),"""")</f>
        <v>"</v>
      </c>
      <c r="F81" s="67" t="str">
        <f ca="1">IFERROR(__xludf.DUMMYFUNCTION("IFERROR(IF(SUMPRODUCT(('Σύνοψη'!$F$2:$F289=$A81)*('Σύνοψη'!$C$2:$C289=F$3)*('Σύνοψη'!$G$2:$G289=$B81))&gt;0,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'Σύνοψη'!$C$2:$C289=F$3)), IF(SUMPRODUCT(('Σύνοψη'!$F$2:$F289=$A81)*('Σύνοψη'!$C$2:$C289=F$3)*('Σύνοψη'!$G$2:$G289&lt;$B81)*('Σύνοψη'!$H$2:$H289&gt;$B81))&gt;0, CHAR(34), """") ), """")"),"""")</f>
        <v>"</v>
      </c>
      <c r="G81" s="67" t="str">
        <f ca="1">IFERROR(__xludf.DUMMYFUNCTION("IFERROR(IF(SUMPRODUCT(('Σύνοψη'!$F$2:$F289=$A81)*('Σύνοψη'!$C$2:$C289=G$3)*('Σύνοψη'!$G$2:$G289=$B81))&gt;0,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'Σύνοψη'!$C$2:$C289=G$3)), IF(SUMPRODUCT(('Σύνοψη'!$F$2:$F289=$A81)*('Σύνοψη'!$C$2:$C289=G$3)*('Σύνοψη'!$G$2:$G289&lt;$B81)*('Σύνοψη'!$H$2:$H289&gt;$B81))&gt;0, CHAR(34), """") ), """")"),"")</f>
        <v/>
      </c>
      <c r="H81" s="67" t="str">
        <f ca="1">IFERROR(__xludf.DUMMYFUNCTION("IFERROR(IF(SUMPRODUCT(('Σύνοψη'!$F$2:$F289=$A81)*('Σύνοψη'!$C$2:$C289=H$3)*('Σύνοψη'!$G$2:$G289=$B81))&gt;0, TEXTJOIN(CHAR(10) &amp; ""-----------------------"" &amp; CHAR(10), TRUE, FILTER('Σύνοψη'!$E$2:$E289 &amp; "" - "" &amp; 'Σύνοψη'!$I$2:$I289 &amp; "" ("" &amp; 'Σύνοψη'!$J$2"&amp;":$J289 &amp; "")"", 'Σύνοψη'!$F$2:$F289=$A81, 'Σύνοψη'!$G$2:$G289=$B81, 'Σύνοψη'!$C$2:$C289=H$3)), IF(SUMPRODUCT(('Σύνοψη'!$F$2:$F289=$A81)*('Σύνοψη'!$C$2:$C289=H$3)*('Σύνοψη'!$G$2:$G289&lt;$B81)*('Σύνοψη'!$H$2:$H289&gt;$B81))&gt;0, CHAR(34), """") ), """")"),"""")</f>
        <v>"</v>
      </c>
      <c r="I81" s="3"/>
    </row>
    <row r="82" spans="1:9" s="103" customFormat="1" ht="75" x14ac:dyDescent="0.25">
      <c r="A82" s="88">
        <f t="shared" si="5"/>
        <v>46272</v>
      </c>
      <c r="B82" s="89">
        <v>0.58333333333333337</v>
      </c>
      <c r="C82" s="67" t="str">
        <f ca="1">IFERROR(__xludf.DUMMYFUNCTION("IFERROR(IF(SUMPRODUCT(('Σύνοψη'!$F$2:$F289=$A82)*('Σύνοψη'!$C$2:$C289=C$3)*('Σύνοψη'!$G$2:$G289=$B82))&gt;0,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'Σύνοψη'!$C$2:$C289=C$3)), IF(SUMPRODUCT(('Σύνοψη'!$F$2:$F289=$A82)*('Σύνοψη'!$C$2:$C289=C$3)*('Σύνοψη'!$G$2:$G289&lt;$B82)*('Σύνοψη'!$H$2:$H289&gt;$B82))&gt;0, CHAR(34), """") ), """")"),"")</f>
        <v/>
      </c>
      <c r="D82" s="67" t="str">
        <f ca="1">IFERROR(__xludf.DUMMYFUNCTION("IFERROR(IF(SUMPRODUCT(('Σύνοψη'!$F$2:$F289=$A82)*('Σύνοψη'!$C$2:$C289=D$3)*('Σύνοψη'!$G$2:$G289=$B82))&gt;0,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'Σύνοψη'!$C$2:$C289=D$3)), IF(SUMPRODUCT(('Σύνοψη'!$F$2:$F289=$A82)*('Σύνοψη'!$C$2:$C289=D$3)*('Σύνοψη'!$G$2:$G289&lt;$B82)*('Σύνοψη'!$H$2:$H289&gt;$B82))&gt;0, CHAR(34), """") ), """")"),"")</f>
        <v/>
      </c>
      <c r="E82" s="67" t="str">
        <f ca="1">IFERROR(__xludf.DUMMYFUNCTION("IFERROR(IF(SUMPRODUCT(('Σύνοψη'!$F$2:$F289=$A82)*('Σύνοψη'!$C$2:$C289=E$3)*('Σύνοψη'!$G$2:$G289=$B82))&gt;0,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'Σύνοψη'!$C$2:$C289=E$3)), IF(SUMPRODUCT(('Σύνοψη'!$F$2:$F289=$A82)*('Σύνοψη'!$C$2:$C289=E$3)*('Σύνοψη'!$G$2:$G289&lt;$B82)*('Σύνοψη'!$H$2:$H289&gt;$B82))&gt;0, CHAR(34), """") ), """")"),"Υγιεινή &amp; Τεχνολογία του Γάλακτος &amp; των Γαλακτοκομικών Προϊόντων &amp; Σχετική Νομοθεσία (Θεωρία) - 14:00 - 16:00 (Μεγάλο Αμφιθέατρο)")</f>
        <v>Υγιεινή &amp; Τεχνολογία του Γάλακτος &amp; των Γαλακτοκομικών Προϊόντων &amp; Σχετική Νομοθεσία (Θεωρία) - 14:00 - 16:00 (Μεγάλο Αμφιθέατρο)</v>
      </c>
      <c r="F82" s="67" t="str">
        <f ca="1">IFERROR(__xludf.DUMMYFUNCTION("IFERROR(IF(SUMPRODUCT(('Σύνοψη'!$F$2:$F289=$A82)*('Σύνοψη'!$C$2:$C289=F$3)*('Σύνοψη'!$G$2:$G289=$B82))&gt;0,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'Σύνοψη'!$C$2:$C289=F$3)), IF(SUMPRODUCT(('Σύνοψη'!$F$2:$F289=$A82)*('Σύνοψη'!$C$2:$C289=F$3)*('Σύνοψη'!$G$2:$G289&lt;$B82)*('Σύνοψη'!$H$2:$H289&gt;$B82))&gt;0, CHAR(34), """") ), """")"),"""")</f>
        <v>"</v>
      </c>
      <c r="G82" s="67" t="str">
        <f ca="1">IFERROR(__xludf.DUMMYFUNCTION("IFERROR(IF(SUMPRODUCT(('Σύνοψη'!$F$2:$F289=$A82)*('Σύνοψη'!$C$2:$C289=G$3)*('Σύνοψη'!$G$2:$G289=$B82))&gt;0,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'Σύνοψη'!$C$2:$C289=G$3)), IF(SUMPRODUCT(('Σύνοψη'!$F$2:$F289=$A82)*('Σύνοψη'!$C$2:$C289=G$3)*('Σύνοψη'!$G$2:$G289&lt;$B82)*('Σύνοψη'!$H$2:$H289&gt;$B82))&gt;0, CHAR(34), """") ), """")"),"")</f>
        <v/>
      </c>
      <c r="H82" s="67" t="str">
        <f ca="1">IFERROR(__xludf.DUMMYFUNCTION("IFERROR(IF(SUMPRODUCT(('Σύνοψη'!$F$2:$F289=$A82)*('Σύνοψη'!$C$2:$C289=H$3)*('Σύνοψη'!$G$2:$G289=$B82))&gt;0, TEXTJOIN(CHAR(10) &amp; ""-----------------------"" &amp; CHAR(10), TRUE, FILTER('Σύνοψη'!$E$2:$E289 &amp; "" - "" &amp; 'Σύνοψη'!$I$2:$I289 &amp; "" ("" &amp; 'Σύνοψη'!$J$2"&amp;":$J289 &amp; "")"", 'Σύνοψη'!$F$2:$F289=$A82, 'Σύνοψη'!$G$2:$G289=$B82, 'Σύνοψη'!$C$2:$C289=H$3)), IF(SUMPRODUCT(('Σύνοψη'!$F$2:$F289=$A82)*('Σύνοψη'!$C$2:$C289=H$3)*('Σύνοψη'!$G$2:$G289&lt;$B82)*('Σύνοψη'!$H$2:$H289&gt;$B82))&gt;0, CHAR(34), """") ), """")"),"""")</f>
        <v>"</v>
      </c>
      <c r="I82" s="3"/>
    </row>
    <row r="83" spans="1:9" s="103" customFormat="1" x14ac:dyDescent="0.25">
      <c r="A83" s="88">
        <f t="shared" si="5"/>
        <v>46272</v>
      </c>
      <c r="B83" s="89">
        <v>0.625</v>
      </c>
      <c r="C83" s="67" t="str">
        <f ca="1">IFERROR(__xludf.DUMMYFUNCTION("IFERROR(IF(SUMPRODUCT(('Σύνοψη'!$F$2:$F289=$A83)*('Σύνοψη'!$C$2:$C289=C$3)*('Σύνοψη'!$G$2:$G289=$B83))&gt;0,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'Σύνοψη'!$C$2:$C289=C$3)), IF(SUMPRODUCT(('Σύνοψη'!$F$2:$F289=$A83)*('Σύνοψη'!$C$2:$C289=C$3)*('Σύνοψη'!$G$2:$G289&lt;$B83)*('Σύνοψη'!$H$2:$H289&gt;$B83))&gt;0, CHAR(34), """") ), """")"),"")</f>
        <v/>
      </c>
      <c r="D83" s="67" t="str">
        <f ca="1">IFERROR(__xludf.DUMMYFUNCTION("IFERROR(IF(SUMPRODUCT(('Σύνοψη'!$F$2:$F289=$A83)*('Σύνοψη'!$C$2:$C289=D$3)*('Σύνοψη'!$G$2:$G289=$B83))&gt;0,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'Σύνοψη'!$C$2:$C289=D$3)), IF(SUMPRODUCT(('Σύνοψη'!$F$2:$F289=$A83)*('Σύνοψη'!$C$2:$C289=D$3)*('Σύνοψη'!$G$2:$G289&lt;$B83)*('Σύνοψη'!$H$2:$H289&gt;$B83))&gt;0, CHAR(34), """") ), """")"),"")</f>
        <v/>
      </c>
      <c r="E83" s="67" t="str">
        <f ca="1">IFERROR(__xludf.DUMMYFUNCTION("IFERROR(IF(SUMPRODUCT(('Σύνοψη'!$F$2:$F289=$A83)*('Σύνοψη'!$C$2:$C289=E$3)*('Σύνοψη'!$G$2:$G289=$B83))&gt;0,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'Σύνοψη'!$C$2:$C289=E$3)), IF(SUMPRODUCT(('Σύνοψη'!$F$2:$F289=$A83)*('Σύνοψη'!$C$2:$C289=E$3)*('Σύνοψη'!$G$2:$G289&lt;$B83)*('Σύνοψη'!$H$2:$H289&gt;$B83))&gt;0, CHAR(34), """") ), """")"),"""")</f>
        <v>"</v>
      </c>
      <c r="F83" s="67" t="str">
        <f ca="1">IFERROR(__xludf.DUMMYFUNCTION("IFERROR(IF(SUMPRODUCT(('Σύνοψη'!$F$2:$F289=$A83)*('Σύνοψη'!$C$2:$C289=F$3)*('Σύνοψη'!$G$2:$G289=$B83))&gt;0,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'Σύνοψη'!$C$2:$C289=F$3)), IF(SUMPRODUCT(('Σύνοψη'!$F$2:$F289=$A83)*('Σύνοψη'!$C$2:$C289=F$3)*('Σύνοψη'!$G$2:$G289&lt;$B83)*('Σύνοψη'!$H$2:$H289&gt;$B83))&gt;0, CHAR(34), """") ), """")"),"")</f>
        <v/>
      </c>
      <c r="G83" s="67" t="str">
        <f ca="1">IFERROR(__xludf.DUMMYFUNCTION("IFERROR(IF(SUMPRODUCT(('Σύνοψη'!$F$2:$F289=$A83)*('Σύνοψη'!$C$2:$C289=G$3)*('Σύνοψη'!$G$2:$G289=$B83))&gt;0,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'Σύνοψη'!$C$2:$C289=G$3)), IF(SUMPRODUCT(('Σύνοψη'!$F$2:$F289=$A83)*('Σύνοψη'!$C$2:$C289=G$3)*('Σύνοψη'!$G$2:$G289&lt;$B83)*('Σύνοψη'!$H$2:$H289&gt;$B83))&gt;0, CHAR(34), """") ), """")"),"")</f>
        <v/>
      </c>
      <c r="H83" s="67" t="str">
        <f ca="1">IFERROR(__xludf.DUMMYFUNCTION("IFERROR(IF(SUMPRODUCT(('Σύνοψη'!$F$2:$F289=$A83)*('Σύνοψη'!$C$2:$C289=H$3)*('Σύνοψη'!$G$2:$G289=$B83))&gt;0, TEXTJOIN(CHAR(10) &amp; ""-----------------------"" &amp; CHAR(10), TRUE, FILTER('Σύνοψη'!$E$2:$E289 &amp; "" - "" &amp; 'Σύνοψη'!$I$2:$I289 &amp; "" ("" &amp; 'Σύνοψη'!$J$2"&amp;":$J289 &amp; "")"", 'Σύνοψη'!$F$2:$F289=$A83, 'Σύνοψη'!$G$2:$G289=$B83, 'Σύνοψη'!$C$2:$C289=H$3)), IF(SUMPRODUCT(('Σύνοψη'!$F$2:$F289=$A83)*('Σύνοψη'!$C$2:$C289=H$3)*('Σύνοψη'!$G$2:$G289&lt;$B83)*('Σύνοψη'!$H$2:$H289&gt;$B83))&gt;0, CHAR(34), """") ), """")"),"")</f>
        <v/>
      </c>
      <c r="I83" s="3"/>
    </row>
    <row r="84" spans="1:9" s="103" customFormat="1" ht="105" x14ac:dyDescent="0.25">
      <c r="A84" s="88">
        <f t="shared" si="5"/>
        <v>46272</v>
      </c>
      <c r="B84" s="89">
        <v>0.66666666666666663</v>
      </c>
      <c r="C84" s="67" t="str">
        <f ca="1">IFERROR(__xludf.DUMMYFUNCTION("IFERROR(IF(SUMPRODUCT(('Σύνοψη'!$F$2:$F289=$A84)*('Σύνοψη'!$C$2:$C289=C$3)*('Σύνοψη'!$G$2:$G289=$B84))&gt;0,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'Σύνοψη'!$C$2:$C289=C$3)), IF(SUMPRODUCT(('Σύνοψη'!$F$2:$F289=$A84)*('Σύνοψη'!$C$2:$C289=C$3)*('Σύνοψη'!$G$2:$G289&lt;$B84)*('Σύνοψη'!$H$2:$H289&gt;$B84))&gt;0, CHAR(34), """") ), """")"),"")</f>
        <v/>
      </c>
      <c r="D84" s="67" t="str">
        <f ca="1">IFERROR(__xludf.DUMMYFUNCTION("IFERROR(IF(SUMPRODUCT(('Σύνοψη'!$F$2:$F289=$A84)*('Σύνοψη'!$C$2:$C289=D$3)*('Σύνοψη'!$G$2:$G289=$B84))&gt;0,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'Σύνοψη'!$C$2:$C289=D$3)), IF(SUMPRODUCT(('Σύνοψη'!$F$2:$F289=$A84)*('Σύνοψη'!$C$2:$C289=D$3)*('Σύνοψη'!$G$2:$G289&lt;$B84)*('Σύνοψη'!$H$2:$H289&gt;$B84))&gt;0, CHAR(34), """") ), """")"),"")</f>
        <v/>
      </c>
      <c r="E84" s="67" t="str">
        <f ca="1">IFERROR(__xludf.DUMMYFUNCTION("IFERROR(IF(SUMPRODUCT(('Σύνοψη'!$F$2:$F289=$A84)*('Σύνοψη'!$C$2:$C289=E$3)*('Σύνοψη'!$G$2:$G289=$B84))&gt;0,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'Σύνοψη'!$C$2:$C289=E$3)), IF(SUMPRODUCT(('Σύνοψη'!$F$2:$F289=$A84)*('Σύνοψη'!$C$2:$C289=E$3)*('Σύνοψη'!$G$2:$G289&lt;$B84)*('Σύνοψη'!$H$2:$H289&gt;$B84))&gt;0, CHAR(34), """") ), """")"),"")</f>
        <v/>
      </c>
      <c r="F84" s="67" t="str">
        <f ca="1">IFERROR(__xludf.DUMMYFUNCTION("IFERROR(IF(SUMPRODUCT(('Σύνοψη'!$F$2:$F289=$A84)*('Σύνοψη'!$C$2:$C289=F$3)*('Σύνοψη'!$G$2:$G289=$B84))&gt;0,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'Σύνοψη'!$C$2:$C289=F$3)), IF(SUMPRODUCT(('Σύνοψη'!$F$2:$F289=$A84)*('Σύνοψη'!$C$2:$C289=F$3)*('Σύνοψη'!$G$2:$G289&lt;$B84)*('Σύνοψη'!$H$2:$H289&gt;$B84))&gt;0, CHAR(34), """") ), """")"),"")</f>
        <v/>
      </c>
      <c r="G84" s="67" t="str">
        <f ca="1">IFERROR(__xludf.DUMMYFUNCTION("IFERROR(IF(SUMPRODUCT(('Σύνοψη'!$F$2:$F289=$A84)*('Σύνοψη'!$C$2:$C289=G$3)*('Σύνοψη'!$G$2:$G289=$B84))&gt;0,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'Σύνοψη'!$C$2:$C289=G$3)), IF(SUMPRODUCT(('Σύνοψη'!$F$2:$F289=$A84)*('Σύνοψη'!$C$2:$C289=G$3)*('Σύνοψη'!$G$2:$G289&lt;$B84)*('Σύνοψη'!$H$2:$H289&gt;$B84))&gt;0, CHAR(34), """") ), """")"),"Πρακτική Άσκηση στην Υγιεινή Τροφίμων Ι - 16:00 - 17:00 (Αίθουσα έναντι Παθολογικής)
-----------------------
Ποιότητα &amp; Έλεγχος Τροφίμων &amp; Σχετική Νομοθεσία - 16:00 - 17:00 (Αίθουσα έναντι Παθολογικής)")</f>
        <v>Πρακτική Άσκηση στην Υγιεινή Τροφίμων Ι - 16:00 - 17:00 (Αίθουσα έναντι Παθολογικής)
-----------------------
Ποιότητα &amp; Έλεγχος Τροφίμων &amp; Σχετική Νομοθεσία - 16:00 - 17:00 (Αίθουσα έναντι Παθολογικής)</v>
      </c>
      <c r="H84" s="67" t="str">
        <f ca="1">IFERROR(__xludf.DUMMYFUNCTION("IFERROR(IF(SUMPRODUCT(('Σύνοψη'!$F$2:$F289=$A84)*('Σύνοψη'!$C$2:$C289=H$3)*('Σύνοψη'!$G$2:$G289=$B84))&gt;0, TEXTJOIN(CHAR(10) &amp; ""-----------------------"" &amp; CHAR(10), TRUE, FILTER('Σύνοψη'!$E$2:$E289 &amp; "" - "" &amp; 'Σύνοψη'!$I$2:$I289 &amp; "" ("" &amp; 'Σύνοψη'!$J$2"&amp;":$J289 &amp; "")"", 'Σύνοψη'!$F$2:$F289=$A84, 'Σύνοψη'!$G$2:$G289=$B84, 'Σύνοψη'!$C$2:$C289=H$3)), IF(SUMPRODUCT(('Σύνοψη'!$F$2:$F289=$A84)*('Σύνοψη'!$C$2:$C289=H$3)*('Σύνοψη'!$G$2:$G289&lt;$B84)*('Σύνοψη'!$H$2:$H289&gt;$B84))&gt;0, CHAR(34), """") ), """")"),"")</f>
        <v/>
      </c>
      <c r="I84" s="3"/>
    </row>
    <row r="85" spans="1:9" s="103" customFormat="1" x14ac:dyDescent="0.25">
      <c r="A85" s="88">
        <f t="shared" si="5"/>
        <v>46272</v>
      </c>
      <c r="B85" s="89">
        <v>0.70833333333333337</v>
      </c>
      <c r="C85" s="67" t="str">
        <f ca="1">IFERROR(__xludf.DUMMYFUNCTION("IFERROR(IF(SUMPRODUCT(('Σύνοψη'!$F$2:$F289=$A85)*('Σύνοψη'!$C$2:$C289=C$3)*('Σύνοψη'!$G$2:$G289=$B85))&gt;0,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'Σύνοψη'!$C$2:$C289=C$3)), IF(SUMPRODUCT(('Σύνοψη'!$F$2:$F289=$A85)*('Σύνοψη'!$C$2:$C289=C$3)*('Σύνοψη'!$G$2:$G289&lt;$B85)*('Σύνοψη'!$H$2:$H289&gt;$B85))&gt;0, CHAR(34), """") ), """")"),"")</f>
        <v/>
      </c>
      <c r="D85" s="67" t="str">
        <f ca="1">IFERROR(__xludf.DUMMYFUNCTION("IFERROR(IF(SUMPRODUCT(('Σύνοψη'!$F$2:$F289=$A85)*('Σύνοψη'!$C$2:$C289=D$3)*('Σύνοψη'!$G$2:$G289=$B85))&gt;0,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'Σύνοψη'!$C$2:$C289=D$3)), IF(SUMPRODUCT(('Σύνοψη'!$F$2:$F289=$A85)*('Σύνοψη'!$C$2:$C289=D$3)*('Σύνοψη'!$G$2:$G289&lt;$B85)*('Σύνοψη'!$H$2:$H289&gt;$B85))&gt;0, CHAR(34), """") ), """")"),"")</f>
        <v/>
      </c>
      <c r="E85" s="67" t="str">
        <f ca="1">IFERROR(__xludf.DUMMYFUNCTION("IFERROR(IF(SUMPRODUCT(('Σύνοψη'!$F$2:$F289=$A85)*('Σύνοψη'!$C$2:$C289=E$3)*('Σύνοψη'!$G$2:$G289=$B85))&gt;0,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'Σύνοψη'!$C$2:$C289=E$3)), IF(SUMPRODUCT(('Σύνοψη'!$F$2:$F289=$A85)*('Σύνοψη'!$C$2:$C289=E$3)*('Σύνοψη'!$G$2:$G289&lt;$B85)*('Σύνοψη'!$H$2:$H289&gt;$B85))&gt;0, CHAR(34), """") ), """")"),"")</f>
        <v/>
      </c>
      <c r="F85" s="67" t="str">
        <f ca="1">IFERROR(__xludf.DUMMYFUNCTION("IFERROR(IF(SUMPRODUCT(('Σύνοψη'!$F$2:$F289=$A85)*('Σύνοψη'!$C$2:$C289=F$3)*('Σύνοψη'!$G$2:$G289=$B85))&gt;0,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'Σύνοψη'!$C$2:$C289=F$3)), IF(SUMPRODUCT(('Σύνοψη'!$F$2:$F289=$A85)*('Σύνοψη'!$C$2:$C289=F$3)*('Σύνοψη'!$G$2:$G289&lt;$B85)*('Σύνοψη'!$H$2:$H289&gt;$B85))&gt;0, CHAR(34), """") ), """")"),"")</f>
        <v/>
      </c>
      <c r="G85" s="67" t="str">
        <f ca="1">IFERROR(__xludf.DUMMYFUNCTION("IFERROR(IF(SUMPRODUCT(('Σύνοψη'!$F$2:$F289=$A85)*('Σύνοψη'!$C$2:$C289=G$3)*('Σύνοψη'!$G$2:$G289=$B85))&gt;0,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'Σύνοψη'!$C$2:$C289=G$3)), IF(SUMPRODUCT(('Σύνοψη'!$F$2:$F289=$A85)*('Σύνοψη'!$C$2:$C289=G$3)*('Σύνοψη'!$G$2:$G289&lt;$B85)*('Σύνοψη'!$H$2:$H289&gt;$B85))&gt;0, CHAR(34), """") ), """")"),"")</f>
        <v/>
      </c>
      <c r="H85" s="67" t="str">
        <f ca="1">IFERROR(__xludf.DUMMYFUNCTION("IFERROR(IF(SUMPRODUCT(('Σύνοψη'!$F$2:$F289=$A85)*('Σύνοψη'!$C$2:$C289=H$3)*('Σύνοψη'!$G$2:$G289=$B85))&gt;0, TEXTJOIN(CHAR(10) &amp; ""-----------------------"" &amp; CHAR(10), TRUE, FILTER('Σύνοψη'!$E$2:$E289 &amp; "" - "" &amp; 'Σύνοψη'!$I$2:$I289 &amp; "" ("" &amp; 'Σύνοψη'!$J$2"&amp;":$J289 &amp; "")"", 'Σύνοψη'!$F$2:$F289=$A85, 'Σύνοψη'!$G$2:$G289=$B85, 'Σύνοψη'!$C$2:$C289=H$3)), IF(SUMPRODUCT(('Σύνοψη'!$F$2:$F289=$A85)*('Σύνοψη'!$C$2:$C289=H$3)*('Σύνοψη'!$G$2:$G289&lt;$B85)*('Σύνοψη'!$H$2:$H289&gt;$B85))&gt;0, CHAR(34), """") ), """")"),"")</f>
        <v/>
      </c>
      <c r="I85" s="3"/>
    </row>
    <row r="86" spans="1:9" s="103" customFormat="1" x14ac:dyDescent="0.25">
      <c r="A86" s="88">
        <f t="shared" si="5"/>
        <v>46272</v>
      </c>
      <c r="B86" s="89">
        <v>0.75</v>
      </c>
      <c r="C86" s="67" t="str">
        <f ca="1">IFERROR(__xludf.DUMMYFUNCTION("IFERROR(IF(SUMPRODUCT(('Σύνοψη'!$F$2:$F289=$A86)*('Σύνοψη'!$C$2:$C289=C$3)*('Σύνοψη'!$G$2:$G289=$B86))&gt;0,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'Σύνοψη'!$C$2:$C289=C$3)), IF(SUMPRODUCT(('Σύνοψη'!$F$2:$F289=$A86)*('Σύνοψη'!$C$2:$C289=C$3)*('Σύνοψη'!$G$2:$G289&lt;$B86)*('Σύνοψη'!$H$2:$H289&gt;$B86))&gt;0, CHAR(34), """") ), """")"),"")</f>
        <v/>
      </c>
      <c r="D86" s="67" t="str">
        <f ca="1">IFERROR(__xludf.DUMMYFUNCTION("IFERROR(IF(SUMPRODUCT(('Σύνοψη'!$F$2:$F289=$A86)*('Σύνοψη'!$C$2:$C289=D$3)*('Σύνοψη'!$G$2:$G289=$B86))&gt;0,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'Σύνοψη'!$C$2:$C289=D$3)), IF(SUMPRODUCT(('Σύνοψη'!$F$2:$F289=$A86)*('Σύνοψη'!$C$2:$C289=D$3)*('Σύνοψη'!$G$2:$G289&lt;$B86)*('Σύνοψη'!$H$2:$H289&gt;$B86))&gt;0, CHAR(34), """") ), """")"),"")</f>
        <v/>
      </c>
      <c r="E86" s="67" t="str">
        <f ca="1">IFERROR(__xludf.DUMMYFUNCTION("IFERROR(IF(SUMPRODUCT(('Σύνοψη'!$F$2:$F289=$A86)*('Σύνοψη'!$C$2:$C289=E$3)*('Σύνοψη'!$G$2:$G289=$B86))&gt;0,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'Σύνοψη'!$C$2:$C289=E$3)), IF(SUMPRODUCT(('Σύνοψη'!$F$2:$F289=$A86)*('Σύνοψη'!$C$2:$C289=E$3)*('Σύνοψη'!$G$2:$G289&lt;$B86)*('Σύνοψη'!$H$2:$H289&gt;$B86))&gt;0, CHAR(34), """") ), """")"),"")</f>
        <v/>
      </c>
      <c r="F86" s="67" t="str">
        <f ca="1">IFERROR(__xludf.DUMMYFUNCTION("IFERROR(IF(SUMPRODUCT(('Σύνοψη'!$F$2:$F289=$A86)*('Σύνοψη'!$C$2:$C289=F$3)*('Σύνοψη'!$G$2:$G289=$B86))&gt;0,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'Σύνοψη'!$C$2:$C289=F$3)), IF(SUMPRODUCT(('Σύνοψη'!$F$2:$F289=$A86)*('Σύνοψη'!$C$2:$C289=F$3)*('Σύνοψη'!$G$2:$G289&lt;$B86)*('Σύνοψη'!$H$2:$H289&gt;$B86))&gt;0, CHAR(34), """") ), """")"),"")</f>
        <v/>
      </c>
      <c r="G86" s="67" t="str">
        <f ca="1">IFERROR(__xludf.DUMMYFUNCTION("IFERROR(IF(SUMPRODUCT(('Σύνοψη'!$F$2:$F289=$A86)*('Σύνοψη'!$C$2:$C289=G$3)*('Σύνοψη'!$G$2:$G289=$B86))&gt;0,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'Σύνοψη'!$C$2:$C289=G$3)), IF(SUMPRODUCT(('Σύνοψη'!$F$2:$F289=$A86)*('Σύνοψη'!$C$2:$C289=G$3)*('Σύνοψη'!$G$2:$G289&lt;$B86)*('Σύνοψη'!$H$2:$H289&gt;$B86))&gt;0, CHAR(34), """") ), """")"),"")</f>
        <v/>
      </c>
      <c r="H86" s="67" t="str">
        <f ca="1">IFERROR(__xludf.DUMMYFUNCTION("IFERROR(IF(SUMPRODUCT(('Σύνοψη'!$F$2:$F289=$A86)*('Σύνοψη'!$C$2:$C289=H$3)*('Σύνοψη'!$G$2:$G289=$B86))&gt;0, TEXTJOIN(CHAR(10) &amp; ""-----------------------"" &amp; CHAR(10), TRUE, FILTER('Σύνοψη'!$E$2:$E289 &amp; "" - "" &amp; 'Σύνοψη'!$I$2:$I289 &amp; "" ("" &amp; 'Σύνοψη'!$J$2"&amp;":$J289 &amp; "")"", 'Σύνοψη'!$F$2:$F289=$A86, 'Σύνοψη'!$G$2:$G289=$B86, 'Σύνοψη'!$C$2:$C289=H$3)), IF(SUMPRODUCT(('Σύνοψη'!$F$2:$F289=$A86)*('Σύνοψη'!$C$2:$C289=H$3)*('Σύνοψη'!$G$2:$G289&lt;$B86)*('Σύνοψη'!$H$2:$H289&gt;$B86))&gt;0, CHAR(34), """") ), """")"),"")</f>
        <v/>
      </c>
      <c r="I86" s="3"/>
    </row>
    <row r="87" spans="1:9" s="103" customFormat="1" ht="75" x14ac:dyDescent="0.25">
      <c r="A87" s="88">
        <f t="shared" si="5"/>
        <v>46272</v>
      </c>
      <c r="B87" s="89">
        <v>0.79166666666666663</v>
      </c>
      <c r="C87" s="67" t="str">
        <f ca="1">IFERROR(__xludf.DUMMYFUNCTION("IFERROR(IF(SUMPRODUCT(('Σύνοψη'!$F$2:$F289=$A87)*('Σύνοψη'!$C$2:$C289=C$3)*('Σύνοψη'!$G$2:$G289=$B87))&gt;0,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'Σύνοψη'!$C$2:$C289=C$3)), IF(SUMPRODUCT(('Σύνοψη'!$F$2:$F289=$A87)*('Σύνοψη'!$C$2:$C289=C$3)*('Σύνοψη'!$G$2:$G289&lt;$B87)*('Σύνοψη'!$H$2:$H289&gt;$B87))&gt;0, CHAR(34), """") ), """")"),"Αγγλική Κτηνιατρική Ορολογία Ι - 19:00 - 21:00 (Νέες Αίθουσες)
-----------------------
Αγγλική Κτηνιατρική Ορολογία ΙΙ - 19:00 - 21:00 (Νέες Αίθουσες)")</f>
        <v>Αγγλική Κτηνιατρική Ορολογία Ι - 19:00 - 21:00 (Νέες Αίθουσες)
-----------------------
Αγγλική Κτηνιατρική Ορολογία ΙΙ - 19:00 - 21:00 (Νέες Αίθουσες)</v>
      </c>
      <c r="D87" s="67" t="str">
        <f ca="1">IFERROR(__xludf.DUMMYFUNCTION("IFERROR(IF(SUMPRODUCT(('Σύνοψη'!$F$2:$F289=$A87)*('Σύνοψη'!$C$2:$C289=D$3)*('Σύνοψη'!$G$2:$G289=$B87))&gt;0,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'Σύνοψη'!$C$2:$C289=D$3)), IF(SUMPRODUCT(('Σύνοψη'!$F$2:$F289=$A87)*('Σύνοψη'!$C$2:$C289=D$3)*('Σύνοψη'!$G$2:$G289&lt;$B87)*('Σύνοψη'!$H$2:$H289&gt;$B87))&gt;0, CHAR(34), """") ), """")"),"")</f>
        <v/>
      </c>
      <c r="E87" s="67" t="str">
        <f ca="1">IFERROR(__xludf.DUMMYFUNCTION("IFERROR(IF(SUMPRODUCT(('Σύνοψη'!$F$2:$F289=$A87)*('Σύνοψη'!$C$2:$C289=E$3)*('Σύνοψη'!$G$2:$G289=$B87))&gt;0,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'Σύνοψη'!$C$2:$C289=E$3)), IF(SUMPRODUCT(('Σύνοψη'!$F$2:$F289=$A87)*('Σύνοψη'!$C$2:$C289=E$3)*('Σύνοψη'!$G$2:$G289&lt;$B87)*('Σύνοψη'!$H$2:$H289&gt;$B87))&gt;0, CHAR(34), """") ), """")"),"")</f>
        <v/>
      </c>
      <c r="F87" s="67" t="str">
        <f ca="1">IFERROR(__xludf.DUMMYFUNCTION("IFERROR(IF(SUMPRODUCT(('Σύνοψη'!$F$2:$F289=$A87)*('Σύνοψη'!$C$2:$C289=F$3)*('Σύνοψη'!$G$2:$G289=$B87))&gt;0,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'Σύνοψη'!$C$2:$C289=F$3)), IF(SUMPRODUCT(('Σύνοψη'!$F$2:$F289=$A87)*('Σύνοψη'!$C$2:$C289=F$3)*('Σύνοψη'!$G$2:$G289&lt;$B87)*('Σύνοψη'!$H$2:$H289&gt;$B87))&gt;0, CHAR(34), """") ), """")"),"")</f>
        <v/>
      </c>
      <c r="G87" s="67" t="str">
        <f ca="1">IFERROR(__xludf.DUMMYFUNCTION("IFERROR(IF(SUMPRODUCT(('Σύνοψη'!$F$2:$F289=$A87)*('Σύνοψη'!$C$2:$C289=G$3)*('Σύνοψη'!$G$2:$G289=$B87))&gt;0,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'Σύνοψη'!$C$2:$C289=G$3)), IF(SUMPRODUCT(('Σύνοψη'!$F$2:$F289=$A87)*('Σύνοψη'!$C$2:$C289=G$3)*('Σύνοψη'!$G$2:$G289&lt;$B87)*('Σύνοψη'!$H$2:$H289&gt;$B87))&gt;0, CHAR(34), """") ), """")"),"")</f>
        <v/>
      </c>
      <c r="H87" s="67" t="str">
        <f ca="1">IFERROR(__xludf.DUMMYFUNCTION("IFERROR(IF(SUMPRODUCT(('Σύνοψη'!$F$2:$F289=$A87)*('Σύνοψη'!$C$2:$C289=H$3)*('Σύνοψη'!$G$2:$G289=$B87))&gt;0, TEXTJOIN(CHAR(10) &amp; ""-----------------------"" &amp; CHAR(10), TRUE, FILTER('Σύνοψη'!$E$2:$E289 &amp; "" - "" &amp; 'Σύνοψη'!$I$2:$I289 &amp; "" ("" &amp; 'Σύνοψη'!$J$2"&amp;":$J289 &amp; "")"", 'Σύνοψη'!$F$2:$F289=$A87, 'Σύνοψη'!$G$2:$G289=$B87, 'Σύνοψη'!$C$2:$C289=H$3)), IF(SUMPRODUCT(('Σύνοψη'!$F$2:$F289=$A87)*('Σύνοψη'!$C$2:$C289=H$3)*('Σύνοψη'!$G$2:$G289&lt;$B87)*('Σύνοψη'!$H$2:$H289&gt;$B87))&gt;0, CHAR(34), """") ), """")"),"")</f>
        <v/>
      </c>
      <c r="I87" s="3"/>
    </row>
    <row r="88" spans="1:9" s="103" customFormat="1" x14ac:dyDescent="0.25">
      <c r="A88" s="88">
        <f t="shared" si="5"/>
        <v>46272</v>
      </c>
      <c r="B88" s="89">
        <v>0.83333333333333337</v>
      </c>
      <c r="C88" s="67" t="str">
        <f ca="1">IFERROR(__xludf.DUMMYFUNCTION("IFERROR(IF(SUMPRODUCT(('Σύνοψη'!$F$2:$F289=$A88)*('Σύνοψη'!$C$2:$C289=C$3)*('Σύνοψη'!$G$2:$G289=$B88))&gt;0,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'Σύνοψη'!$C$2:$C289=C$3)), IF(SUMPRODUCT(('Σύνοψη'!$F$2:$F289=$A88)*('Σύνοψη'!$C$2:$C289=C$3)*('Σύνοψη'!$G$2:$G289&lt;$B88)*('Σύνοψη'!$H$2:$H289&gt;$B88))&gt;0, CHAR(34), """") ), """")"),"""")</f>
        <v>"</v>
      </c>
      <c r="D88" s="67" t="str">
        <f ca="1">IFERROR(__xludf.DUMMYFUNCTION("IFERROR(IF(SUMPRODUCT(('Σύνοψη'!$F$2:$F289=$A88)*('Σύνοψη'!$C$2:$C289=D$3)*('Σύνοψη'!$G$2:$G289=$B88))&gt;0,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'Σύνοψη'!$C$2:$C289=D$3)), IF(SUMPRODUCT(('Σύνοψη'!$F$2:$F289=$A88)*('Σύνοψη'!$C$2:$C289=D$3)*('Σύνοψη'!$G$2:$G289&lt;$B88)*('Σύνοψη'!$H$2:$H289&gt;$B88))&gt;0, CHAR(34), """") ), """")"),"")</f>
        <v/>
      </c>
      <c r="E88" s="67" t="str">
        <f ca="1">IFERROR(__xludf.DUMMYFUNCTION("IFERROR(IF(SUMPRODUCT(('Σύνοψη'!$F$2:$F289=$A88)*('Σύνοψη'!$C$2:$C289=E$3)*('Σύνοψη'!$G$2:$G289=$B88))&gt;0,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'Σύνοψη'!$C$2:$C289=E$3)), IF(SUMPRODUCT(('Σύνοψη'!$F$2:$F289=$A88)*('Σύνοψη'!$C$2:$C289=E$3)*('Σύνοψη'!$G$2:$G289&lt;$B88)*('Σύνοψη'!$H$2:$H289&gt;$B88))&gt;0, CHAR(34), """") ), """")"),"")</f>
        <v/>
      </c>
      <c r="F88" s="67" t="str">
        <f ca="1">IFERROR(__xludf.DUMMYFUNCTION("IFERROR(IF(SUMPRODUCT(('Σύνοψη'!$F$2:$F289=$A88)*('Σύνοψη'!$C$2:$C289=F$3)*('Σύνοψη'!$G$2:$G289=$B88))&gt;0,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'Σύνοψη'!$C$2:$C289=F$3)), IF(SUMPRODUCT(('Σύνοψη'!$F$2:$F289=$A88)*('Σύνοψη'!$C$2:$C289=F$3)*('Σύνοψη'!$G$2:$G289&lt;$B88)*('Σύνοψη'!$H$2:$H289&gt;$B88))&gt;0, CHAR(34), """") ), """")"),"")</f>
        <v/>
      </c>
      <c r="G88" s="67" t="str">
        <f ca="1">IFERROR(__xludf.DUMMYFUNCTION("IFERROR(IF(SUMPRODUCT(('Σύνοψη'!$F$2:$F289=$A88)*('Σύνοψη'!$C$2:$C289=G$3)*('Σύνοψη'!$G$2:$G289=$B88))&gt;0,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'Σύνοψη'!$C$2:$C289=G$3)), IF(SUMPRODUCT(('Σύνοψη'!$F$2:$F289=$A88)*('Σύνοψη'!$C$2:$C289=G$3)*('Σύνοψη'!$G$2:$G289&lt;$B88)*('Σύνοψη'!$H$2:$H289&gt;$B88))&gt;0, CHAR(34), """") ), """")"),"")</f>
        <v/>
      </c>
      <c r="H88" s="67" t="str">
        <f ca="1">IFERROR(__xludf.DUMMYFUNCTION("IFERROR(IF(SUMPRODUCT(('Σύνοψη'!$F$2:$F289=$A88)*('Σύνοψη'!$C$2:$C289=H$3)*('Σύνοψη'!$G$2:$G289=$B88))&gt;0, TEXTJOIN(CHAR(10) &amp; ""-----------------------"" &amp; CHAR(10), TRUE, FILTER('Σύνοψη'!$E$2:$E289 &amp; "" - "" &amp; 'Σύνοψη'!$I$2:$I289 &amp; "" ("" &amp; 'Σύνοψη'!$J$2"&amp;":$J289 &amp; "")"", 'Σύνοψη'!$F$2:$F289=$A88, 'Σύνοψη'!$G$2:$G289=$B88, 'Σύνοψη'!$C$2:$C289=H$3)), IF(SUMPRODUCT(('Σύνοψη'!$F$2:$F289=$A88)*('Σύνοψη'!$C$2:$C289=H$3)*('Σύνοψη'!$G$2:$G289&lt;$B88)*('Σύνοψη'!$H$2:$H289&gt;$B88))&gt;0, CHAR(34), """") ), """")"),"")</f>
        <v/>
      </c>
      <c r="I88" s="3"/>
    </row>
    <row r="89" spans="1:9" s="104" customFormat="1" x14ac:dyDescent="0.25">
      <c r="A89" s="90">
        <f t="shared" si="5"/>
        <v>46272</v>
      </c>
      <c r="B89" s="91">
        <v>0.875</v>
      </c>
      <c r="C89" s="78" t="str">
        <f ca="1">IFERROR(__xludf.DUMMYFUNCTION("IFERROR(IF(SUMPRODUCT(('Σύνοψη'!$F$2:$F289=$A89)*('Σύνοψη'!$C$2:$C289=C$3)*('Σύνοψη'!$G$2:$G289=$B89))&gt;0,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'Σύνοψη'!$C$2:$C289=C$3)), IF(SUMPRODUCT(('Σύνοψη'!$F$2:$F289=$A89)*('Σύνοψη'!$C$2:$C289=C$3)*('Σύνοψη'!$G$2:$G289&lt;$B89)*('Σύνοψη'!$H$2:$H289&gt;$B89))&gt;0, CHAR(34), """") ), """")"),"")</f>
        <v/>
      </c>
      <c r="D89" s="78" t="str">
        <f ca="1">IFERROR(__xludf.DUMMYFUNCTION("IFERROR(IF(SUMPRODUCT(('Σύνοψη'!$F$2:$F289=$A89)*('Σύνοψη'!$C$2:$C289=D$3)*('Σύνοψη'!$G$2:$G289=$B89))&gt;0,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'Σύνοψη'!$C$2:$C289=D$3)), IF(SUMPRODUCT(('Σύνοψη'!$F$2:$F289=$A89)*('Σύνοψη'!$C$2:$C289=D$3)*('Σύνοψη'!$G$2:$G289&lt;$B89)*('Σύνοψη'!$H$2:$H289&gt;$B89))&gt;0, CHAR(34), """") ), """")"),"")</f>
        <v/>
      </c>
      <c r="E89" s="78" t="str">
        <f ca="1">IFERROR(__xludf.DUMMYFUNCTION("IFERROR(IF(SUMPRODUCT(('Σύνοψη'!$F$2:$F289=$A89)*('Σύνοψη'!$C$2:$C289=E$3)*('Σύνοψη'!$G$2:$G289=$B89))&gt;0,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'Σύνοψη'!$C$2:$C289=E$3)), IF(SUMPRODUCT(('Σύνοψη'!$F$2:$F289=$A89)*('Σύνοψη'!$C$2:$C289=E$3)*('Σύνοψη'!$G$2:$G289&lt;$B89)*('Σύνοψη'!$H$2:$H289&gt;$B89))&gt;0, CHAR(34), """") ), """")"),"")</f>
        <v/>
      </c>
      <c r="F89" s="78" t="str">
        <f ca="1">IFERROR(__xludf.DUMMYFUNCTION("IFERROR(IF(SUMPRODUCT(('Σύνοψη'!$F$2:$F289=$A89)*('Σύνοψη'!$C$2:$C289=F$3)*('Σύνοψη'!$G$2:$G289=$B89))&gt;0,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'Σύνοψη'!$C$2:$C289=F$3)), IF(SUMPRODUCT(('Σύνοψη'!$F$2:$F289=$A89)*('Σύνοψη'!$C$2:$C289=F$3)*('Σύνοψη'!$G$2:$G289&lt;$B89)*('Σύνοψη'!$H$2:$H289&gt;$B89))&gt;0, CHAR(34), """") ), """")"),"")</f>
        <v/>
      </c>
      <c r="G89" s="78" t="str">
        <f ca="1">IFERROR(__xludf.DUMMYFUNCTION("IFERROR(IF(SUMPRODUCT(('Σύνοψη'!$F$2:$F289=$A89)*('Σύνοψη'!$C$2:$C289=G$3)*('Σύνοψη'!$G$2:$G289=$B89))&gt;0,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'Σύνοψη'!$C$2:$C289=G$3)), IF(SUMPRODUCT(('Σύνοψη'!$F$2:$F289=$A89)*('Σύνοψη'!$C$2:$C289=G$3)*('Σύνοψη'!$G$2:$G289&lt;$B89)*('Σύνοψη'!$H$2:$H289&gt;$B89))&gt;0, CHAR(34), """") ), """")"),"")</f>
        <v/>
      </c>
      <c r="H89" s="78" t="str">
        <f ca="1">IFERROR(__xludf.DUMMYFUNCTION("IFERROR(IF(SUMPRODUCT(('Σύνοψη'!$F$2:$F289=$A89)*('Σύνοψη'!$C$2:$C289=H$3)*('Σύνοψη'!$G$2:$G289=$B89))&gt;0, TEXTJOIN(CHAR(10) &amp; ""-----------------------"" &amp; CHAR(10), TRUE, FILTER('Σύνοψη'!$E$2:$E289 &amp; "" - "" &amp; 'Σύνοψη'!$I$2:$I289 &amp; "" ("" &amp; 'Σύνοψη'!$J$2"&amp;":$J289 &amp; "")"", 'Σύνοψη'!$F$2:$F289=$A89, 'Σύνοψη'!$G$2:$G289=$B89, 'Σύνοψη'!$C$2:$C289=H$3)), IF(SUMPRODUCT(('Σύνοψη'!$F$2:$F289=$A89)*('Σύνοψη'!$C$2:$C289=H$3)*('Σύνοψη'!$G$2:$G289&lt;$B89)*('Σύνοψη'!$H$2:$H289&gt;$B89))&gt;0, CHAR(34), """") ), """")"),"")</f>
        <v/>
      </c>
      <c r="I89" s="79"/>
    </row>
    <row r="90" spans="1:9" s="100" customFormat="1" x14ac:dyDescent="0.25">
      <c r="A90" s="92">
        <f>$D$1+8</f>
        <v>46273</v>
      </c>
      <c r="B90" s="89">
        <v>0.33333333333333331</v>
      </c>
      <c r="C90" s="67" t="str">
        <f ca="1">IFERROR(__xludf.DUMMYFUNCTION("IFERROR(IF(SUMPRODUCT(('Σύνοψη'!$F$2:$F289=$A90)*('Σύνοψη'!$C$2:$C289=C$3)*('Σύνοψη'!$G$2:$G289=$B90))&gt;0,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'Σύνοψη'!$C$2:$C289=C$3)), IF(SUMPRODUCT(('Σύνοψη'!$F$2:$F289=$A90)*('Σύνοψη'!$C$2:$C289=C$3)*('Σύνοψη'!$G$2:$G289&lt;$B90)*('Σύνοψη'!$H$2:$H289&gt;$B90))&gt;0, CHAR(34), """") ), """")"),"")</f>
        <v/>
      </c>
      <c r="D90" s="67" t="str">
        <f ca="1">IFERROR(__xludf.DUMMYFUNCTION("IFERROR(IF(SUMPRODUCT(('Σύνοψη'!$F$2:$F289=$A90)*('Σύνοψη'!$C$2:$C289=D$3)*('Σύνοψη'!$G$2:$G289=$B90))&gt;0,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'Σύνοψη'!$C$2:$C289=D$3)), IF(SUMPRODUCT(('Σύνοψη'!$F$2:$F289=$A90)*('Σύνοψη'!$C$2:$C289=D$3)*('Σύνοψη'!$G$2:$G289&lt;$B90)*('Σύνοψη'!$H$2:$H289&gt;$B90))&gt;0, CHAR(34), """") ), """")"),"")</f>
        <v/>
      </c>
      <c r="E90" s="67" t="str">
        <f ca="1">IFERROR(__xludf.DUMMYFUNCTION("IFERROR(IF(SUMPRODUCT(('Σύνοψη'!$F$2:$F289=$A90)*('Σύνοψη'!$C$2:$C289=E$3)*('Σύνοψη'!$G$2:$G289=$B90))&gt;0,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'Σύνοψη'!$C$2:$C289=E$3)), IF(SUMPRODUCT(('Σύνοψη'!$F$2:$F289=$A90)*('Σύνοψη'!$C$2:$C289=E$3)*('Σύνοψη'!$G$2:$G289&lt;$B90)*('Σύνοψη'!$H$2:$H289&gt;$B90))&gt;0, CHAR(34), """") ), """")"),"")</f>
        <v/>
      </c>
      <c r="F90" s="67" t="str">
        <f ca="1">IFERROR(__xludf.DUMMYFUNCTION("IFERROR(IF(SUMPRODUCT(('Σύνοψη'!$F$2:$F289=$A90)*('Σύνοψη'!$C$2:$C289=F$3)*('Σύνοψη'!$G$2:$G289=$B90))&gt;0,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'Σύνοψη'!$C$2:$C289=F$3)), IF(SUMPRODUCT(('Σύνοψη'!$F$2:$F289=$A90)*('Σύνοψη'!$C$2:$C289=F$3)*('Σύνοψη'!$G$2:$G289&lt;$B90)*('Σύνοψη'!$H$2:$H289&gt;$B90))&gt;0, CHAR(34), """") ), """")"),"")</f>
        <v/>
      </c>
      <c r="G90" s="67" t="str">
        <f ca="1">IFERROR(__xludf.DUMMYFUNCTION("IFERROR(IF(SUMPRODUCT(('Σύνοψη'!$F$2:$F289=$A90)*('Σύνοψη'!$C$2:$C289=G$3)*('Σύνοψη'!$G$2:$G289=$B90))&gt;0,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'Σύνοψη'!$C$2:$C289=G$3)), IF(SUMPRODUCT(('Σύνοψη'!$F$2:$F289=$A90)*('Σύνοψη'!$C$2:$C289=G$3)*('Σύνοψη'!$G$2:$G289&lt;$B90)*('Σύνοψη'!$H$2:$H289&gt;$B90))&gt;0, CHAR(34), """") ), """")"),"")</f>
        <v/>
      </c>
      <c r="H90" s="67" t="str">
        <f ca="1">IFERROR(__xludf.DUMMYFUNCTION("IFERROR(IF(SUMPRODUCT(('Σύνοψη'!$F$2:$F289=$A90)*('Σύνοψη'!$C$2:$C289=H$3)*('Σύνοψη'!$G$2:$G289=$B90))&gt;0, TEXTJOIN(CHAR(10) &amp; ""-----------------------"" &amp; CHAR(10), TRUE, FILTER('Σύνοψη'!$E$2:$E289 &amp; "" - "" &amp; 'Σύνοψη'!$I$2:$I289 &amp; "" ("" &amp; 'Σύνοψη'!$J$2"&amp;":$J289 &amp; "")"", 'Σύνοψη'!$F$2:$F289=$A90, 'Σύνοψη'!$G$2:$G289=$B90, 'Σύνοψη'!$C$2:$C289=H$3)), IF(SUMPRODUCT(('Σύνοψη'!$F$2:$F289=$A90)*('Σύνοψη'!$C$2:$C289=H$3)*('Σύνοψη'!$G$2:$G289&lt;$B90)*('Σύνοψη'!$H$2:$H289&gt;$B90))&gt;0, CHAR(34), """") ), """")"),"")</f>
        <v/>
      </c>
      <c r="I90" s="3"/>
    </row>
    <row r="91" spans="1:9" s="100" customFormat="1" ht="225" x14ac:dyDescent="0.25">
      <c r="A91" s="95">
        <f t="shared" ref="A91:A103" si="6">$A$90</f>
        <v>46273</v>
      </c>
      <c r="B91" s="89">
        <v>0.375</v>
      </c>
      <c r="C91" s="67" t="str">
        <f ca="1">IFERROR(__xludf.DUMMYFUNCTION("IFERROR(IF(SUMPRODUCT(('Σύνοψη'!$F$2:$F289=$A91)*('Σύνοψη'!$C$2:$C289=C$3)*('Σύνοψη'!$G$2:$G289=$B91))&gt;0,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'Σύνοψη'!$C$2:$C289=C$3)), IF(SUMPRODUCT(('Σύνοψη'!$F$2:$F289=$A91)*('Σύνοψη'!$C$2:$C289=C$3)*('Σύνοψη'!$G$2:$G289&lt;$B91)*('Σύνοψη'!$H$2:$H289&gt;$B91))&gt;0, CHAR(34), """") ), """")"),"Μακροσκοπική Ανατομική ΙΙ (Πρακτικά) - 09:00 - 12:00 (Ανατομείο)")</f>
        <v>Μακροσκοπική Ανατομική ΙΙ (Πρακτικά) - 09:00 - 12:00 (Ανατομείο)</v>
      </c>
      <c r="D91" s="67" t="str">
        <f ca="1">IFERROR(__xludf.DUMMYFUNCTION("IFERROR(IF(SUMPRODUCT(('Σύνοψη'!$F$2:$F289=$A91)*('Σύνοψη'!$C$2:$C289=D$3)*('Σύνοψη'!$G$2:$G289=$B91))&gt;0,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'Σύνοψη'!$C$2:$C289=D$3)), IF(SUMPRODUCT(('Σύνοψη'!$F$2:$F289=$A91)*('Σύνοψη'!$C$2:$C289=D$3)*('Σύνοψη'!$G$2:$G289&lt;$B91)*('Σύνοψη'!$H$2:$H289&gt;$B91))&gt;0, CHAR(34), """") ), """")"),"")</f>
        <v/>
      </c>
      <c r="E91" s="67" t="str">
        <f ca="1">IFERROR(__xludf.DUMMYFUNCTION("IFERROR(IF(SUMPRODUCT(('Σύνοψη'!$F$2:$F289=$A91)*('Σύνοψη'!$C$2:$C289=E$3)*('Σύνοψη'!$G$2:$G289=$B91))&gt;0,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'Σύνοψη'!$C$2:$C289=E$3)), IF(SUMPRODUCT(('Σύνοψη'!$F$2:$F289=$A91)*('Σύνοψη'!$C$2:$C289=E$3)*('Σύνοψη'!$G$2:$G289&lt;$B91)*('Σύνοψη'!$H$2:$H289&gt;$B91))&gt;0, CHAR(34), """") ), """")"),"")</f>
        <v/>
      </c>
      <c r="F91" s="67" t="str">
        <f ca="1">IFERROR(__xludf.DUMMYFUNCTION("IFERROR(IF(SUMPRODUCT(('Σύνοψη'!$F$2:$F289=$A91)*('Σύνοψη'!$C$2:$C289=F$3)*('Σύνοψη'!$G$2:$G289=$B91))&gt;0,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'Σύνοψη'!$C$2:$C289=F$3)), IF(SUMPRODUCT(('Σύνοψη'!$F$2:$F289=$A91)*('Σύνοψη'!$C$2:$C289=F$3)*('Σύνοψη'!$G$2:$G289&lt;$B91)*('Σύνοψη'!$H$2:$H289&gt;$B91))&gt;0, CHAR(34), """") ), """")"),"")</f>
        <v/>
      </c>
      <c r="G91" s="67" t="str">
        <f ca="1">IFERROR(__xludf.DUMMYFUNCTION("IFERROR(IF(SUMPRODUCT(('Σύνοψη'!$F$2:$F289=$A91)*('Σύνοψη'!$C$2:$C289=G$3)*('Σύνοψη'!$G$2:$G289=$B91))&gt;0,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'Σύνοψη'!$C$2:$C289=G$3)), IF(SUMPRODUCT(('Σύνοψη'!$F$2:$F289=$A91)*('Σύνοψη'!$C$2:$C289=G$3)*('Σύνοψη'!$G$2:$G289&lt;$B91)*('Σύνοψη'!$H$2:$H289&gt;$B91))&gt;0, CHAR(34), """") ), """")"),"Πρακτική Άσκηση στην Αναισθησιολογία, τη Χειρουργική &amp; την Απεικονιστική Διαγνωστική Ι (Πρακτικά) (1η ημέρα) - 09:00 - 17:00 (Χειρουργική Κλινική)
-----------------------
Πρακτική Άσκηση στην Αναισθησιολογία, τη Χειρουργική &amp; την Απεικονιστική Διαγνωστική"&amp;" ΙΙ (Πρακτικά) (1η ημέρα) - 09:00 - 17:00 (Χειρουργική Κλινική)
-----------------------
Πρακτική Άσκηση στην Υγιεινή Τροφίμων ΙΙ (Εργαστήριο) - 09:00 - 12:00 (Εργαστήριο Υγιεινής)")</f>
        <v>Πρακτική Άσκηση στην Αναισθησιολογία, τη Χειρουργική &amp; την Απεικονιστική Διαγνωστική Ι (Πρακτικά) (1η ημέρα) - 09:00 - 17:00 (Χειρουργική Κλινική)
-----------------------
Πρακτική Άσκηση στην Αναισθησιολογία, τη Χειρουργική &amp; την Απεικονιστική Διαγνωστική ΙΙ (Πρακτικά) (1η ημέρα) - 09:00 - 17:00 (Χειρουργική Κλινική)
-----------------------
Πρακτική Άσκηση στην Υγιεινή Τροφίμων ΙΙ (Εργαστήριο) - 09:00 - 12:00 (Εργαστήριο Υγιεινής)</v>
      </c>
      <c r="H91" s="67" t="str">
        <f ca="1">IFERROR(__xludf.DUMMYFUNCTION("IFERROR(IF(SUMPRODUCT(('Σύνοψη'!$F$2:$F289=$A91)*('Σύνοψη'!$C$2:$C289=H$3)*('Σύνοψη'!$G$2:$G289=$B91))&gt;0, TEXTJOIN(CHAR(10) &amp; ""-----------------------"" &amp; CHAR(10), TRUE, FILTER('Σύνοψη'!$E$2:$E289 &amp; "" - "" &amp; 'Σύνοψη'!$I$2:$I289 &amp; "" ("" &amp; 'Σύνοψη'!$J$2"&amp;":$J289 &amp; "")"", 'Σύνοψη'!$F$2:$F289=$A91, 'Σύνοψη'!$G$2:$G289=$B91, 'Σύνοψη'!$C$2:$C289=H$3)), IF(SUMPRODUCT(('Σύνοψη'!$F$2:$F289=$A91)*('Σύνοψη'!$C$2:$C289=H$3)*('Σύνοψη'!$G$2:$G289&lt;$B91)*('Σύνοψη'!$H$2:$H289&gt;$B91))&gt;0, CHAR(34), """") ), """")"),"Μακροσκοπική Ανατομική ΙΙ (ΠΠΣ) (Πρακτικά) - 09:00 - 12:00 (Ανατομείο)
-----------------------
Υγιεινή τροφίμων ΙΙΙ (ΠΠΣ) (Εργαστήριο) - 09:00 - 12:00 (Εργαστήριο Υγιεινής)
-----------------------
Χειρουργική ΙV (Πρακτικά) (1η ημέρα) - 09:00 - 17:00 (Χειρ"&amp;"ουργική Κλινική)")</f>
        <v>Μακροσκοπική Ανατομική ΙΙ (ΠΠΣ) (Πρακτικά) - 09:00 - 12:00 (Ανατομείο)
-----------------------
Υγιεινή τροφίμων ΙΙΙ (ΠΠΣ) (Εργαστήριο) - 09:00 - 12:00 (Εργαστήριο Υγιεινής)
-----------------------
Χειρουργική ΙV (Πρακτικά) (1η ημέρα) - 09:00 - 17:00 (Χειρουργική Κλινική)</v>
      </c>
      <c r="I91" s="3"/>
    </row>
    <row r="92" spans="1:9" s="100" customFormat="1" ht="60" x14ac:dyDescent="0.25">
      <c r="A92" s="95">
        <f t="shared" si="6"/>
        <v>46273</v>
      </c>
      <c r="B92" s="89">
        <v>0.41666666666666669</v>
      </c>
      <c r="C92" s="67" t="str">
        <f ca="1">IFERROR(__xludf.DUMMYFUNCTION("IFERROR(IF(SUMPRODUCT(('Σύνοψη'!$F$2:$F289=$A92)*('Σύνοψη'!$C$2:$C289=C$3)*('Σύνοψη'!$G$2:$G289=$B92))&gt;0,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'Σύνοψη'!$C$2:$C289=C$3)), IF(SUMPRODUCT(('Σύνοψη'!$F$2:$F289=$A92)*('Σύνοψη'!$C$2:$C289=C$3)*('Σύνοψη'!$G$2:$G289&lt;$B92)*('Σύνοψη'!$H$2:$H289&gt;$B92))&gt;0, CHAR(34), """") ), """")"),"""")</f>
        <v>"</v>
      </c>
      <c r="D92" s="67" t="str">
        <f ca="1">IFERROR(__xludf.DUMMYFUNCTION("IFERROR(IF(SUMPRODUCT(('Σύνοψη'!$F$2:$F289=$A92)*('Σύνοψη'!$C$2:$C289=D$3)*('Σύνοψη'!$G$2:$G289=$B92))&gt;0,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'Σύνοψη'!$C$2:$C289=D$3)), IF(SUMPRODUCT(('Σύνοψη'!$F$2:$F289=$A92)*('Σύνοψη'!$C$2:$C289=D$3)*('Σύνοψη'!$G$2:$G289&lt;$B92)*('Σύνοψη'!$H$2:$H289&gt;$B92))&gt;0, CHAR(34), """") ), """")"),"")</f>
        <v/>
      </c>
      <c r="E92" s="67" t="str">
        <f ca="1">IFERROR(__xludf.DUMMYFUNCTION("IFERROR(IF(SUMPRODUCT(('Σύνοψη'!$F$2:$F289=$A92)*('Σύνοψη'!$C$2:$C289=E$3)*('Σύνοψη'!$G$2:$G289=$B92))&gt;0,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'Σύνοψη'!$C$2:$C289=E$3)), IF(SUMPRODUCT(('Σύνοψη'!$F$2:$F289=$A92)*('Σύνοψη'!$C$2:$C289=E$3)*('Σύνοψη'!$G$2:$G289&lt;$B92)*('Σύνοψη'!$H$2:$H289&gt;$B92))&gt;0, CHAR(34), """") ), """")"),"")</f>
        <v/>
      </c>
      <c r="F92" s="67" t="str">
        <f ca="1">IFERROR(__xludf.DUMMYFUNCTION("IFERROR(IF(SUMPRODUCT(('Σύνοψη'!$F$2:$F289=$A92)*('Σύνοψη'!$C$2:$C289=F$3)*('Σύνοψη'!$G$2:$G289=$B92))&gt;0,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'Σύνοψη'!$C$2:$C289=F$3)), IF(SUMPRODUCT(('Σύνοψη'!$F$2:$F289=$A92)*('Σύνοψη'!$C$2:$C289=F$3)*('Σύνοψη'!$G$2:$G289&lt;$B92)*('Σύνοψη'!$H$2:$H289&gt;$B92))&gt;0, CHAR(34), """") ), """")"),"Διαγνωστική Παθολογική Ανατομική - Κτηνιατροδικαστική Ι - 10:00 - 13:00 (Νέες Αίθουσες)")</f>
        <v>Διαγνωστική Παθολογική Ανατομική - Κτηνιατροδικαστική Ι - 10:00 - 13:00 (Νέες Αίθουσες)</v>
      </c>
      <c r="G92" s="67" t="str">
        <f ca="1">IFERROR(__xludf.DUMMYFUNCTION("IFERROR(IF(SUMPRODUCT(('Σύνοψη'!$F$2:$F289=$A92)*('Σύνοψη'!$C$2:$C289=G$3)*('Σύνοψη'!$G$2:$G289=$B92))&gt;0,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'Σύνοψη'!$C$2:$C289=G$3)), IF(SUMPRODUCT(('Σύνοψη'!$F$2:$F289=$A92)*('Σύνοψη'!$C$2:$C289=G$3)*('Σύνοψη'!$G$2:$G289&lt;$B92)*('Σύνοψη'!$H$2:$H289&gt;$B92))&gt;0, CHAR(34), """") ), """")"),"""")</f>
        <v>"</v>
      </c>
      <c r="H92" s="67" t="str">
        <f ca="1">IFERROR(__xludf.DUMMYFUNCTION("IFERROR(IF(SUMPRODUCT(('Σύνοψη'!$F$2:$F289=$A92)*('Σύνοψη'!$C$2:$C289=H$3)*('Σύνοψη'!$G$2:$G289=$B92))&gt;0, TEXTJOIN(CHAR(10) &amp; ""-----------------------"" &amp; CHAR(10), TRUE, FILTER('Σύνοψη'!$E$2:$E289 &amp; "" - "" &amp; 'Σύνοψη'!$I$2:$I289 &amp; "" ("" &amp; 'Σύνοψη'!$J$2"&amp;":$J289 &amp; "")"", 'Σύνοψη'!$F$2:$F289=$A92, 'Σύνοψη'!$G$2:$G289=$B92, 'Σύνοψη'!$C$2:$C289=H$3)), IF(SUMPRODUCT(('Σύνοψη'!$F$2:$F289=$A92)*('Σύνοψη'!$C$2:$C289=H$3)*('Σύνοψη'!$G$2:$G289&lt;$B92)*('Σύνοψη'!$H$2:$H289&gt;$B92))&gt;0, CHAR(34), """") ), """")"),"Διαγνωστική Παθολογική Αντομική ΙΙ (ΔΠΑ ΙΙ - παραγωγικά ζώα) (ΠΠΣ) - 10:00 - 13:00 (Νέες Αίθουσες)")</f>
        <v>Διαγνωστική Παθολογική Αντομική ΙΙ (ΔΠΑ ΙΙ - παραγωγικά ζώα) (ΠΠΣ) - 10:00 - 13:00 (Νέες Αίθουσες)</v>
      </c>
      <c r="I92" s="3"/>
    </row>
    <row r="93" spans="1:9" s="100" customFormat="1" x14ac:dyDescent="0.25">
      <c r="A93" s="95">
        <f t="shared" si="6"/>
        <v>46273</v>
      </c>
      <c r="B93" s="89">
        <v>0.45833333333333331</v>
      </c>
      <c r="C93" s="67" t="str">
        <f ca="1">IFERROR(__xludf.DUMMYFUNCTION("IFERROR(IF(SUMPRODUCT(('Σύνοψη'!$F$2:$F289=$A93)*('Σύνοψη'!$C$2:$C289=C$3)*('Σύνοψη'!$G$2:$G289=$B93))&gt;0,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'Σύνοψη'!$C$2:$C289=C$3)), IF(SUMPRODUCT(('Σύνοψη'!$F$2:$F289=$A93)*('Σύνοψη'!$C$2:$C289=C$3)*('Σύνοψη'!$G$2:$G289&lt;$B93)*('Σύνοψη'!$H$2:$H289&gt;$B93))&gt;0, CHAR(34), """") ), """")"),"""")</f>
        <v>"</v>
      </c>
      <c r="D93" s="67" t="str">
        <f ca="1">IFERROR(__xludf.DUMMYFUNCTION("IFERROR(IF(SUMPRODUCT(('Σύνοψη'!$F$2:$F289=$A93)*('Σύνοψη'!$C$2:$C289=D$3)*('Σύνοψη'!$G$2:$G289=$B93))&gt;0,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'Σύνοψη'!$C$2:$C289=D$3)), IF(SUMPRODUCT(('Σύνοψη'!$F$2:$F289=$A93)*('Σύνοψη'!$C$2:$C289=D$3)*('Σύνοψη'!$G$2:$G289&lt;$B93)*('Σύνοψη'!$H$2:$H289&gt;$B93))&gt;0, CHAR(34), """") ), """")"),"")</f>
        <v/>
      </c>
      <c r="E93" s="67" t="str">
        <f ca="1">IFERROR(__xludf.DUMMYFUNCTION("IFERROR(IF(SUMPRODUCT(('Σύνοψη'!$F$2:$F289=$A93)*('Σύνοψη'!$C$2:$C289=E$3)*('Σύνοψη'!$G$2:$G289=$B93))&gt;0,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'Σύνοψη'!$C$2:$C289=E$3)), IF(SUMPRODUCT(('Σύνοψη'!$F$2:$F289=$A93)*('Σύνοψη'!$C$2:$C289=E$3)*('Σύνοψη'!$G$2:$G289&lt;$B93)*('Σύνοψη'!$H$2:$H289&gt;$B93))&gt;0, CHAR(34), """") ), """")"),"")</f>
        <v/>
      </c>
      <c r="F93" s="67" t="str">
        <f ca="1">IFERROR(__xludf.DUMMYFUNCTION("IFERROR(IF(SUMPRODUCT(('Σύνοψη'!$F$2:$F289=$A93)*('Σύνοψη'!$C$2:$C289=F$3)*('Σύνοψη'!$G$2:$G289=$B93))&gt;0,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'Σύνοψη'!$C$2:$C289=F$3)), IF(SUMPRODUCT(('Σύνοψη'!$F$2:$F289=$A93)*('Σύνοψη'!$C$2:$C289=F$3)*('Σύνοψη'!$G$2:$G289&lt;$B93)*('Σύνοψη'!$H$2:$H289&gt;$B93))&gt;0, CHAR(34), """") ), """")"),"""")</f>
        <v>"</v>
      </c>
      <c r="G93" s="67" t="str">
        <f ca="1">IFERROR(__xludf.DUMMYFUNCTION("IFERROR(IF(SUMPRODUCT(('Σύνοψη'!$F$2:$F289=$A93)*('Σύνοψη'!$C$2:$C289=G$3)*('Σύνοψη'!$G$2:$G289=$B93))&gt;0,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'Σύνοψη'!$C$2:$C289=G$3)), IF(SUMPRODUCT(('Σύνοψη'!$F$2:$F289=$A93)*('Σύνοψη'!$C$2:$C289=G$3)*('Σύνοψη'!$G$2:$G289&lt;$B93)*('Σύνοψη'!$H$2:$H289&gt;$B93))&gt;0, CHAR(34), """") ), """")"),"""")</f>
        <v>"</v>
      </c>
      <c r="H93" s="67" t="str">
        <f ca="1">IFERROR(__xludf.DUMMYFUNCTION("IFERROR(IF(SUMPRODUCT(('Σύνοψη'!$F$2:$F289=$A93)*('Σύνοψη'!$C$2:$C289=H$3)*('Σύνοψη'!$G$2:$G289=$B93))&gt;0, TEXTJOIN(CHAR(10) &amp; ""-----------------------"" &amp; CHAR(10), TRUE, FILTER('Σύνοψη'!$E$2:$E289 &amp; "" - "" &amp; 'Σύνοψη'!$I$2:$I289 &amp; "" ("" &amp; 'Σύνοψη'!$J$2"&amp;":$J289 &amp; "")"", 'Σύνοψη'!$F$2:$F289=$A93, 'Σύνοψη'!$G$2:$G289=$B93, 'Σύνοψη'!$C$2:$C289=H$3)), IF(SUMPRODUCT(('Σύνοψη'!$F$2:$F289=$A93)*('Σύνοψη'!$C$2:$C289=H$3)*('Σύνοψη'!$G$2:$G289&lt;$B93)*('Σύνοψη'!$H$2:$H289&gt;$B93))&gt;0, CHAR(34), """") ), """")"),"""")</f>
        <v>"</v>
      </c>
      <c r="I93" s="3"/>
    </row>
    <row r="94" spans="1:9" s="100" customFormat="1" ht="60" x14ac:dyDescent="0.25">
      <c r="A94" s="95">
        <f t="shared" si="6"/>
        <v>46273</v>
      </c>
      <c r="B94" s="89">
        <v>0.5</v>
      </c>
      <c r="C94" s="67" t="str">
        <f ca="1">IFERROR(__xludf.DUMMYFUNCTION("IFERROR(IF(SUMPRODUCT(('Σύνοψη'!$F$2:$F289=$A94)*('Σύνοψη'!$C$2:$C289=C$3)*('Σύνοψη'!$G$2:$G289=$B94))&gt;0,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'Σύνοψη'!$C$2:$C289=C$3)), IF(SUMPRODUCT(('Σύνοψη'!$F$2:$F289=$A94)*('Σύνοψη'!$C$2:$C289=C$3)*('Σύνοψη'!$G$2:$G289&lt;$B94)*('Σύνοψη'!$H$2:$H289&gt;$B94))&gt;0, CHAR(34), """") ), """")"),"")</f>
        <v/>
      </c>
      <c r="D94" s="67" t="str">
        <f ca="1">IFERROR(__xludf.DUMMYFUNCTION("IFERROR(IF(SUMPRODUCT(('Σύνοψη'!$F$2:$F289=$A94)*('Σύνοψη'!$C$2:$C289=D$3)*('Σύνοψη'!$G$2:$G289=$B94))&gt;0,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'Σύνοψη'!$C$2:$C289=D$3)), IF(SUMPRODUCT(('Σύνοψη'!$F$2:$F289=$A94)*('Σύνοψη'!$C$2:$C289=D$3)*('Σύνοψη'!$G$2:$G289&lt;$B94)*('Σύνοψη'!$H$2:$H289&gt;$B94))&gt;0, CHAR(34), """") ), """")"),"Τεχνολογία Τροφίμων Ζωικής Προέλευσης &amp; Σχετική Νομοθεσία (Θεωρία) - 12:00 - 15:00 (Αμφιθέατρα)")</f>
        <v>Τεχνολογία Τροφίμων Ζωικής Προέλευσης &amp; Σχετική Νομοθεσία (Θεωρία) - 12:00 - 15:00 (Αμφιθέατρα)</v>
      </c>
      <c r="E94" s="67" t="str">
        <f ca="1">IFERROR(__xludf.DUMMYFUNCTION("IFERROR(IF(SUMPRODUCT(('Σύνοψη'!$F$2:$F289=$A94)*('Σύνοψη'!$C$2:$C289=E$3)*('Σύνοψη'!$G$2:$G289=$B94))&gt;0,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'Σύνοψη'!$C$2:$C289=E$3)), IF(SUMPRODUCT(('Σύνοψη'!$F$2:$F289=$A94)*('Σύνοψη'!$C$2:$C289=E$3)*('Σύνοψη'!$G$2:$G289&lt;$B94)*('Σύνοψη'!$H$2:$H289&gt;$B94))&gt;0, CHAR(34), """") ), """")"),"")</f>
        <v/>
      </c>
      <c r="F94" s="67" t="str">
        <f ca="1">IFERROR(__xludf.DUMMYFUNCTION("IFERROR(IF(SUMPRODUCT(('Σύνοψη'!$F$2:$F289=$A94)*('Σύνοψη'!$C$2:$C289=F$3)*('Σύνοψη'!$G$2:$G289=$B94))&gt;0,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'Σύνοψη'!$C$2:$C289=F$3)), IF(SUMPRODUCT(('Σύνοψη'!$F$2:$F289=$A94)*('Σύνοψη'!$C$2:$C289=F$3)*('Σύνοψη'!$G$2:$G289&lt;$B94)*('Σύνοψη'!$H$2:$H289&gt;$B94))&gt;0, CHAR(34), """") ), """")"),"""")</f>
        <v>"</v>
      </c>
      <c r="G94" s="67" t="str">
        <f ca="1">IFERROR(__xludf.DUMMYFUNCTION("IFERROR(IF(SUMPRODUCT(('Σύνοψη'!$F$2:$F289=$A94)*('Σύνοψη'!$C$2:$C289=G$3)*('Σύνοψη'!$G$2:$G289=$B94))&gt;0,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'Σύνοψη'!$C$2:$C289=G$3)), IF(SUMPRODUCT(('Σύνοψη'!$F$2:$F289=$A94)*('Σύνοψη'!$C$2:$C289=G$3)*('Σύνοψη'!$G$2:$G289&lt;$B94)*('Σύνοψη'!$H$2:$H289&gt;$B94))&gt;0, CHAR(34), """") ), """")"),"""")</f>
        <v>"</v>
      </c>
      <c r="H94" s="67" t="str">
        <f ca="1">IFERROR(__xludf.DUMMYFUNCTION("IFERROR(IF(SUMPRODUCT(('Σύνοψη'!$F$2:$F289=$A94)*('Σύνοψη'!$C$2:$C289=H$3)*('Σύνοψη'!$G$2:$G289=$B94))&gt;0, TEXTJOIN(CHAR(10) &amp; ""-----------------------"" &amp; CHAR(10), TRUE, FILTER('Σύνοψη'!$E$2:$E289 &amp; "" - "" &amp; 'Σύνοψη'!$I$2:$I289 &amp; "" ("" &amp; 'Σύνοψη'!$J$2"&amp;":$J289 &amp; "")"", 'Σύνοψη'!$F$2:$F289=$A94, 'Σύνοψη'!$G$2:$G289=$B94, 'Σύνοψη'!$C$2:$C289=H$3)), IF(SUMPRODUCT(('Σύνοψη'!$F$2:$F289=$A94)*('Σύνοψη'!$C$2:$C289=H$3)*('Σύνοψη'!$G$2:$G289&lt;$B94)*('Σύνοψη'!$H$2:$H289&gt;$B94))&gt;0, CHAR(34), """") ), """")"),"""")</f>
        <v>"</v>
      </c>
      <c r="I94" s="3"/>
    </row>
    <row r="95" spans="1:9" s="100" customFormat="1" x14ac:dyDescent="0.25">
      <c r="A95" s="95">
        <f t="shared" si="6"/>
        <v>46273</v>
      </c>
      <c r="B95" s="89">
        <v>0.54166666666666663</v>
      </c>
      <c r="C95" s="67" t="str">
        <f ca="1">IFERROR(__xludf.DUMMYFUNCTION("IFERROR(IF(SUMPRODUCT(('Σύνοψη'!$F$2:$F289=$A95)*('Σύνοψη'!$C$2:$C289=C$3)*('Σύνοψη'!$G$2:$G289=$B95))&gt;0,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'Σύνοψη'!$C$2:$C289=C$3)), IF(SUMPRODUCT(('Σύνοψη'!$F$2:$F289=$A95)*('Σύνοψη'!$C$2:$C289=C$3)*('Σύνοψη'!$G$2:$G289&lt;$B95)*('Σύνοψη'!$H$2:$H289&gt;$B95))&gt;0, CHAR(34), """") ), """")"),"")</f>
        <v/>
      </c>
      <c r="D95" s="67" t="str">
        <f ca="1">IFERROR(__xludf.DUMMYFUNCTION("IFERROR(IF(SUMPRODUCT(('Σύνοψη'!$F$2:$F289=$A95)*('Σύνοψη'!$C$2:$C289=D$3)*('Σύνοψη'!$G$2:$G289=$B95))&gt;0,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'Σύνοψη'!$C$2:$C289=D$3)), IF(SUMPRODUCT(('Σύνοψη'!$F$2:$F289=$A95)*('Σύνοψη'!$C$2:$C289=D$3)*('Σύνοψη'!$G$2:$G289&lt;$B95)*('Σύνοψη'!$H$2:$H289&gt;$B95))&gt;0, CHAR(34), """") ), """")"),"""")</f>
        <v>"</v>
      </c>
      <c r="E95" s="67" t="str">
        <f ca="1">IFERROR(__xludf.DUMMYFUNCTION("IFERROR(IF(SUMPRODUCT(('Σύνοψη'!$F$2:$F289=$A95)*('Σύνοψη'!$C$2:$C289=E$3)*('Σύνοψη'!$G$2:$G289=$B95))&gt;0,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'Σύνοψη'!$C$2:$C289=E$3)), IF(SUMPRODUCT(('Σύνοψη'!$F$2:$F289=$A95)*('Σύνοψη'!$C$2:$C289=E$3)*('Σύνοψη'!$G$2:$G289&lt;$B95)*('Σύνοψη'!$H$2:$H289&gt;$B95))&gt;0, CHAR(34), """") ), """")"),"")</f>
        <v/>
      </c>
      <c r="F95" s="67" t="str">
        <f ca="1">IFERROR(__xludf.DUMMYFUNCTION("IFERROR(IF(SUMPRODUCT(('Σύνοψη'!$F$2:$F289=$A95)*('Σύνοψη'!$C$2:$C289=F$3)*('Σύνοψη'!$G$2:$G289=$B95))&gt;0,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'Σύνοψη'!$C$2:$C289=F$3)), IF(SUMPRODUCT(('Σύνοψη'!$F$2:$F289=$A95)*('Σύνοψη'!$C$2:$C289=F$3)*('Σύνοψη'!$G$2:$G289&lt;$B95)*('Σύνοψη'!$H$2:$H289&gt;$B95))&gt;0, CHAR(34), """") ), """")"),"")</f>
        <v/>
      </c>
      <c r="G95" s="67" t="str">
        <f ca="1">IFERROR(__xludf.DUMMYFUNCTION("IFERROR(IF(SUMPRODUCT(('Σύνοψη'!$F$2:$F289=$A95)*('Σύνοψη'!$C$2:$C289=G$3)*('Σύνοψη'!$G$2:$G289=$B95))&gt;0,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'Σύνοψη'!$C$2:$C289=G$3)), IF(SUMPRODUCT(('Σύνοψη'!$F$2:$F289=$A95)*('Σύνοψη'!$C$2:$C289=G$3)*('Σύνοψη'!$G$2:$G289&lt;$B95)*('Σύνοψη'!$H$2:$H289&gt;$B95))&gt;0, CHAR(34), """") ), """")"),"""")</f>
        <v>"</v>
      </c>
      <c r="H95" s="67" t="str">
        <f ca="1">IFERROR(__xludf.DUMMYFUNCTION("IFERROR(IF(SUMPRODUCT(('Σύνοψη'!$F$2:$F289=$A95)*('Σύνοψη'!$C$2:$C289=H$3)*('Σύνοψη'!$G$2:$G289=$B95))&gt;0, TEXTJOIN(CHAR(10) &amp; ""-----------------------"" &amp; CHAR(10), TRUE, FILTER('Σύνοψη'!$E$2:$E289 &amp; "" - "" &amp; 'Σύνοψη'!$I$2:$I289 &amp; "" ("" &amp; 'Σύνοψη'!$J$2"&amp;":$J289 &amp; "")"", 'Σύνοψη'!$F$2:$F289=$A95, 'Σύνοψη'!$G$2:$G289=$B95, 'Σύνοψη'!$C$2:$C289=H$3)), IF(SUMPRODUCT(('Σύνοψη'!$F$2:$F289=$A95)*('Σύνοψη'!$C$2:$C289=H$3)*('Σύνοψη'!$G$2:$G289&lt;$B95)*('Σύνοψη'!$H$2:$H289&gt;$B95))&gt;0, CHAR(34), """") ), """")"),"""")</f>
        <v>"</v>
      </c>
      <c r="I95" s="3"/>
    </row>
    <row r="96" spans="1:9" s="100" customFormat="1" x14ac:dyDescent="0.25">
      <c r="A96" s="95">
        <f t="shared" si="6"/>
        <v>46273</v>
      </c>
      <c r="B96" s="89">
        <v>0.58333333333333337</v>
      </c>
      <c r="C96" s="67" t="str">
        <f ca="1">IFERROR(__xludf.DUMMYFUNCTION("IFERROR(IF(SUMPRODUCT(('Σύνοψη'!$F$2:$F289=$A96)*('Σύνοψη'!$C$2:$C289=C$3)*('Σύνοψη'!$G$2:$G289=$B96))&gt;0,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'Σύνοψη'!$C$2:$C289=C$3)), IF(SUMPRODUCT(('Σύνοψη'!$F$2:$F289=$A96)*('Σύνοψη'!$C$2:$C289=C$3)*('Σύνοψη'!$G$2:$G289&lt;$B96)*('Σύνοψη'!$H$2:$H289&gt;$B96))&gt;0, CHAR(34), """") ), """")"),"")</f>
        <v/>
      </c>
      <c r="D96" s="67" t="str">
        <f ca="1">IFERROR(__xludf.DUMMYFUNCTION("IFERROR(IF(SUMPRODUCT(('Σύνοψη'!$F$2:$F289=$A96)*('Σύνοψη'!$C$2:$C289=D$3)*('Σύνοψη'!$G$2:$G289=$B96))&gt;0,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'Σύνοψη'!$C$2:$C289=D$3)), IF(SUMPRODUCT(('Σύνοψη'!$F$2:$F289=$A96)*('Σύνοψη'!$C$2:$C289=D$3)*('Σύνοψη'!$G$2:$G289&lt;$B96)*('Σύνοψη'!$H$2:$H289&gt;$B96))&gt;0, CHAR(34), """") ), """")"),"""")</f>
        <v>"</v>
      </c>
      <c r="E96" s="67" t="str">
        <f ca="1">IFERROR(__xludf.DUMMYFUNCTION("IFERROR(IF(SUMPRODUCT(('Σύνοψη'!$F$2:$F289=$A96)*('Σύνοψη'!$C$2:$C289=E$3)*('Σύνοψη'!$G$2:$G289=$B96))&gt;0,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'Σύνοψη'!$C$2:$C289=E$3)), IF(SUMPRODUCT(('Σύνοψη'!$F$2:$F289=$A96)*('Σύνοψη'!$C$2:$C289=E$3)*('Σύνοψη'!$G$2:$G289&lt;$B96)*('Σύνοψη'!$H$2:$H289&gt;$B96))&gt;0, CHAR(34), """") ), """")"),"")</f>
        <v/>
      </c>
      <c r="F96" s="67" t="str">
        <f ca="1">IFERROR(__xludf.DUMMYFUNCTION("IFERROR(IF(SUMPRODUCT(('Σύνοψη'!$F$2:$F289=$A96)*('Σύνοψη'!$C$2:$C289=F$3)*('Σύνοψη'!$G$2:$G289=$B96))&gt;0,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'Σύνοψη'!$C$2:$C289=F$3)), IF(SUMPRODUCT(('Σύνοψη'!$F$2:$F289=$A96)*('Σύνοψη'!$C$2:$C289=F$3)*('Σύνοψη'!$G$2:$G289&lt;$B96)*('Σύνοψη'!$H$2:$H289&gt;$B96))&gt;0, CHAR(34), """") ), """")"),"")</f>
        <v/>
      </c>
      <c r="G96" s="67" t="str">
        <f ca="1">IFERROR(__xludf.DUMMYFUNCTION("IFERROR(IF(SUMPRODUCT(('Σύνοψη'!$F$2:$F289=$A96)*('Σύνοψη'!$C$2:$C289=G$3)*('Σύνοψη'!$G$2:$G289=$B96))&gt;0,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'Σύνοψη'!$C$2:$C289=G$3)), IF(SUMPRODUCT(('Σύνοψη'!$F$2:$F289=$A96)*('Σύνοψη'!$C$2:$C289=G$3)*('Σύνοψη'!$G$2:$G289&lt;$B96)*('Σύνοψη'!$H$2:$H289&gt;$B96))&gt;0, CHAR(34), """") ), """")"),"""")</f>
        <v>"</v>
      </c>
      <c r="H96" s="67" t="str">
        <f ca="1">IFERROR(__xludf.DUMMYFUNCTION("IFERROR(IF(SUMPRODUCT(('Σύνοψη'!$F$2:$F289=$A96)*('Σύνοψη'!$C$2:$C289=H$3)*('Σύνοψη'!$G$2:$G289=$B96))&gt;0, TEXTJOIN(CHAR(10) &amp; ""-----------------------"" &amp; CHAR(10), TRUE, FILTER('Σύνοψη'!$E$2:$E289 &amp; "" - "" &amp; 'Σύνοψη'!$I$2:$I289 &amp; "" ("" &amp; 'Σύνοψη'!$J$2"&amp;":$J289 &amp; "")"", 'Σύνοψη'!$F$2:$F289=$A96, 'Σύνοψη'!$G$2:$G289=$B96, 'Σύνοψη'!$C$2:$C289=H$3)), IF(SUMPRODUCT(('Σύνοψη'!$F$2:$F289=$A96)*('Σύνοψη'!$C$2:$C289=H$3)*('Σύνοψη'!$G$2:$G289&lt;$B96)*('Σύνοψη'!$H$2:$H289&gt;$B96))&gt;0, CHAR(34), """") ), """")"),"""")</f>
        <v>"</v>
      </c>
      <c r="I96" s="3"/>
    </row>
    <row r="97" spans="1:9" s="100" customFormat="1" ht="45" x14ac:dyDescent="0.25">
      <c r="A97" s="95">
        <f t="shared" si="6"/>
        <v>46273</v>
      </c>
      <c r="B97" s="89">
        <v>0.625</v>
      </c>
      <c r="C97" s="67" t="str">
        <f ca="1">IFERROR(__xludf.DUMMYFUNCTION("IFERROR(IF(SUMPRODUCT(('Σύνοψη'!$F$2:$F289=$A97)*('Σύνοψη'!$C$2:$C289=C$3)*('Σύνοψη'!$G$2:$G289=$B97))&gt;0,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'Σύνοψη'!$C$2:$C289=C$3)), IF(SUMPRODUCT(('Σύνοψη'!$F$2:$F289=$A97)*('Σύνοψη'!$C$2:$C289=C$3)*('Σύνοψη'!$G$2:$G289&lt;$B97)*('Σύνοψη'!$H$2:$H289&gt;$B97))&gt;0, CHAR(34), """") ), """")"),"Μακροσκοπική Ανατομική ΙΙ (Θεωρία) - 15:00 - 17:00 (Αμφιθέατρα)")</f>
        <v>Μακροσκοπική Ανατομική ΙΙ (Θεωρία) - 15:00 - 17:00 (Αμφιθέατρα)</v>
      </c>
      <c r="D97" s="67" t="str">
        <f ca="1">IFERROR(__xludf.DUMMYFUNCTION("IFERROR(IF(SUMPRODUCT(('Σύνοψη'!$F$2:$F289=$A97)*('Σύνοψη'!$C$2:$C289=D$3)*('Σύνοψη'!$G$2:$G289=$B97))&gt;0,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'Σύνοψη'!$C$2:$C289=D$3)), IF(SUMPRODUCT(('Σύνοψη'!$F$2:$F289=$A97)*('Σύνοψη'!$C$2:$C289=D$3)*('Σύνοψη'!$G$2:$G289&lt;$B97)*('Σύνοψη'!$H$2:$H289&gt;$B97))&gt;0, CHAR(34), """") ), """")"),"")</f>
        <v/>
      </c>
      <c r="E97" s="67" t="str">
        <f ca="1">IFERROR(__xludf.DUMMYFUNCTION("IFERROR(IF(SUMPRODUCT(('Σύνοψη'!$F$2:$F289=$A97)*('Σύνοψη'!$C$2:$C289=E$3)*('Σύνοψη'!$G$2:$G289=$B97))&gt;0,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'Σύνοψη'!$C$2:$C289=E$3)), IF(SUMPRODUCT(('Σύνοψη'!$F$2:$F289=$A97)*('Σύνοψη'!$C$2:$C289=E$3)*('Σύνοψη'!$G$2:$G289&lt;$B97)*('Σύνοψη'!$H$2:$H289&gt;$B97))&gt;0, CHAR(34), """") ), """")"),"Παθολογία Παραγωγικών Ζώων ΙΙ - 15:00 - 18:00 (Νέες Αίθουσες)")</f>
        <v>Παθολογία Παραγωγικών Ζώων ΙΙ - 15:00 - 18:00 (Νέες Αίθουσες)</v>
      </c>
      <c r="F97" s="67" t="str">
        <f ca="1">IFERROR(__xludf.DUMMYFUNCTION("IFERROR(IF(SUMPRODUCT(('Σύνοψη'!$F$2:$F289=$A97)*('Σύνοψη'!$C$2:$C289=F$3)*('Σύνοψη'!$G$2:$G289=$B97))&gt;0,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'Σύνοψη'!$C$2:$C289=F$3)), IF(SUMPRODUCT(('Σύνοψη'!$F$2:$F289=$A97)*('Σύνοψη'!$C$2:$C289=F$3)*('Σύνοψη'!$G$2:$G289&lt;$B97)*('Σύνοψη'!$H$2:$H289&gt;$B97))&gt;0, CHAR(34), """") ), """")"),"")</f>
        <v/>
      </c>
      <c r="G97" s="67" t="str">
        <f ca="1">IFERROR(__xludf.DUMMYFUNCTION("IFERROR(IF(SUMPRODUCT(('Σύνοψη'!$F$2:$F289=$A97)*('Σύνοψη'!$C$2:$C289=G$3)*('Σύνοψη'!$G$2:$G289=$B97))&gt;0,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'Σύνοψη'!$C$2:$C289=G$3)), IF(SUMPRODUCT(('Σύνοψη'!$F$2:$F289=$A97)*('Σύνοψη'!$C$2:$C289=G$3)*('Σύνοψη'!$G$2:$G289&lt;$B97)*('Σύνοψη'!$H$2:$H289&gt;$B97))&gt;0, CHAR(34), """") ), """")"),"""")</f>
        <v>"</v>
      </c>
      <c r="H97" s="67" t="str">
        <f ca="1">IFERROR(__xludf.DUMMYFUNCTION("IFERROR(IF(SUMPRODUCT(('Σύνοψη'!$F$2:$F289=$A97)*('Σύνοψη'!$C$2:$C289=H$3)*('Σύνοψη'!$G$2:$G289=$B97))&gt;0, TEXTJOIN(CHAR(10) &amp; ""-----------------------"" &amp; CHAR(10), TRUE, FILTER('Σύνοψη'!$E$2:$E289 &amp; "" - "" &amp; 'Σύνοψη'!$I$2:$I289 &amp; "" ("" &amp; 'Σύνοψη'!$J$2"&amp;":$J289 &amp; "")"", 'Σύνοψη'!$F$2:$F289=$A97, 'Σύνοψη'!$G$2:$G289=$B97, 'Σύνοψη'!$C$2:$C289=H$3)), IF(SUMPRODUCT(('Σύνοψη'!$F$2:$F289=$A97)*('Σύνοψη'!$C$2:$C289=H$3)*('Σύνοψη'!$G$2:$G289&lt;$B97)*('Σύνοψη'!$H$2:$H289&gt;$B97))&gt;0, CHAR(34), """") ), """")"),"Μακροσκοπική Ανατομική ΙΙ (ΠΠΣ) (Θεωρία) - 15:00 - 17:00 (Αμφιθέατρα)")</f>
        <v>Μακροσκοπική Ανατομική ΙΙ (ΠΠΣ) (Θεωρία) - 15:00 - 17:00 (Αμφιθέατρα)</v>
      </c>
      <c r="I97" s="3"/>
    </row>
    <row r="98" spans="1:9" s="100" customFormat="1" x14ac:dyDescent="0.25">
      <c r="A98" s="95">
        <f t="shared" si="6"/>
        <v>46273</v>
      </c>
      <c r="B98" s="89">
        <v>0.66666666666666663</v>
      </c>
      <c r="C98" s="67" t="str">
        <f ca="1">IFERROR(__xludf.DUMMYFUNCTION("IFERROR(IF(SUMPRODUCT(('Σύνοψη'!$F$2:$F289=$A98)*('Σύνοψη'!$C$2:$C289=C$3)*('Σύνοψη'!$G$2:$G289=$B98))&gt;0,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'Σύνοψη'!$C$2:$C289=C$3)), IF(SUMPRODUCT(('Σύνοψη'!$F$2:$F289=$A98)*('Σύνοψη'!$C$2:$C289=C$3)*('Σύνοψη'!$G$2:$G289&lt;$B98)*('Σύνοψη'!$H$2:$H289&gt;$B98))&gt;0, CHAR(34), """") ), """")"),"""")</f>
        <v>"</v>
      </c>
      <c r="D98" s="67" t="str">
        <f ca="1">IFERROR(__xludf.DUMMYFUNCTION("IFERROR(IF(SUMPRODUCT(('Σύνοψη'!$F$2:$F289=$A98)*('Σύνοψη'!$C$2:$C289=D$3)*('Σύνοψη'!$G$2:$G289=$B98))&gt;0,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'Σύνοψη'!$C$2:$C289=D$3)), IF(SUMPRODUCT(('Σύνοψη'!$F$2:$F289=$A98)*('Σύνοψη'!$C$2:$C289=D$3)*('Σύνοψη'!$G$2:$G289&lt;$B98)*('Σύνοψη'!$H$2:$H289&gt;$B98))&gt;0, CHAR(34), """") ), """")"),"")</f>
        <v/>
      </c>
      <c r="E98" s="67" t="str">
        <f ca="1">IFERROR(__xludf.DUMMYFUNCTION("IFERROR(IF(SUMPRODUCT(('Σύνοψη'!$F$2:$F289=$A98)*('Σύνοψη'!$C$2:$C289=E$3)*('Σύνοψη'!$G$2:$G289=$B98))&gt;0,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'Σύνοψη'!$C$2:$C289=E$3)), IF(SUMPRODUCT(('Σύνοψη'!$F$2:$F289=$A98)*('Σύνοψη'!$C$2:$C289=E$3)*('Σύνοψη'!$G$2:$G289&lt;$B98)*('Σύνοψη'!$H$2:$H289&gt;$B98))&gt;0, CHAR(34), """") ), """")"),"""")</f>
        <v>"</v>
      </c>
      <c r="F98" s="67" t="str">
        <f ca="1">IFERROR(__xludf.DUMMYFUNCTION("IFERROR(IF(SUMPRODUCT(('Σύνοψη'!$F$2:$F289=$A98)*('Σύνοψη'!$C$2:$C289=F$3)*('Σύνοψη'!$G$2:$G289=$B98))&gt;0,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'Σύνοψη'!$C$2:$C289=F$3)), IF(SUMPRODUCT(('Σύνοψη'!$F$2:$F289=$A98)*('Σύνοψη'!$C$2:$C289=F$3)*('Σύνοψη'!$G$2:$G289&lt;$B98)*('Σύνοψη'!$H$2:$H289&gt;$B98))&gt;0, CHAR(34), """") ), """")"),"")</f>
        <v/>
      </c>
      <c r="G98" s="67" t="str">
        <f ca="1">IFERROR(__xludf.DUMMYFUNCTION("IFERROR(IF(SUMPRODUCT(('Σύνοψη'!$F$2:$F289=$A98)*('Σύνοψη'!$C$2:$C289=G$3)*('Σύνοψη'!$G$2:$G289=$B98))&gt;0,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'Σύνοψη'!$C$2:$C289=G$3)), IF(SUMPRODUCT(('Σύνοψη'!$F$2:$F289=$A98)*('Σύνοψη'!$C$2:$C289=G$3)*('Σύνοψη'!$G$2:$G289&lt;$B98)*('Σύνοψη'!$H$2:$H289&gt;$B98))&gt;0, CHAR(34), """") ), """")"),"""")</f>
        <v>"</v>
      </c>
      <c r="H98" s="67" t="str">
        <f ca="1">IFERROR(__xludf.DUMMYFUNCTION("IFERROR(IF(SUMPRODUCT(('Σύνοψη'!$F$2:$F289=$A98)*('Σύνοψη'!$C$2:$C289=H$3)*('Σύνοψη'!$G$2:$G289=$B98))&gt;0, TEXTJOIN(CHAR(10) &amp; ""-----------------------"" &amp; CHAR(10), TRUE, FILTER('Σύνοψη'!$E$2:$E289 &amp; "" - "" &amp; 'Σύνοψη'!$I$2:$I289 &amp; "" ("" &amp; 'Σύνοψη'!$J$2"&amp;":$J289 &amp; "")"", 'Σύνοψη'!$F$2:$F289=$A98, 'Σύνοψη'!$G$2:$G289=$B98, 'Σύνοψη'!$C$2:$C289=H$3)), IF(SUMPRODUCT(('Σύνοψη'!$F$2:$F289=$A98)*('Σύνοψη'!$C$2:$C289=H$3)*('Σύνοψη'!$G$2:$G289&lt;$B98)*('Σύνοψη'!$H$2:$H289&gt;$B98))&gt;0, CHAR(34), """") ), """")"),"""")</f>
        <v>"</v>
      </c>
      <c r="I98" s="3"/>
    </row>
    <row r="99" spans="1:9" s="100" customFormat="1" x14ac:dyDescent="0.25">
      <c r="A99" s="95">
        <f t="shared" si="6"/>
        <v>46273</v>
      </c>
      <c r="B99" s="89">
        <v>0.70833333333333337</v>
      </c>
      <c r="C99" s="67" t="str">
        <f ca="1">IFERROR(__xludf.DUMMYFUNCTION("IFERROR(IF(SUMPRODUCT(('Σύνοψη'!$F$2:$F289=$A99)*('Σύνοψη'!$C$2:$C289=C$3)*('Σύνοψη'!$G$2:$G289=$B99))&gt;0,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'Σύνοψη'!$C$2:$C289=C$3)), IF(SUMPRODUCT(('Σύνοψη'!$F$2:$F289=$A99)*('Σύνοψη'!$C$2:$C289=C$3)*('Σύνοψη'!$G$2:$G289&lt;$B99)*('Σύνοψη'!$H$2:$H289&gt;$B99))&gt;0, CHAR(34), """") ), """")"),"")</f>
        <v/>
      </c>
      <c r="D99" s="67" t="str">
        <f ca="1">IFERROR(__xludf.DUMMYFUNCTION("IFERROR(IF(SUMPRODUCT(('Σύνοψη'!$F$2:$F289=$A99)*('Σύνοψη'!$C$2:$C289=D$3)*('Σύνοψη'!$G$2:$G289=$B99))&gt;0,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'Σύνοψη'!$C$2:$C289=D$3)), IF(SUMPRODUCT(('Σύνοψη'!$F$2:$F289=$A99)*('Σύνοψη'!$C$2:$C289=D$3)*('Σύνοψη'!$G$2:$G289&lt;$B99)*('Σύνοψη'!$H$2:$H289&gt;$B99))&gt;0, CHAR(34), """") ), """")"),"")</f>
        <v/>
      </c>
      <c r="E99" s="67" t="str">
        <f ca="1">IFERROR(__xludf.DUMMYFUNCTION("IFERROR(IF(SUMPRODUCT(('Σύνοψη'!$F$2:$F289=$A99)*('Σύνοψη'!$C$2:$C289=E$3)*('Σύνοψη'!$G$2:$G289=$B99))&gt;0,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'Σύνοψη'!$C$2:$C289=E$3)), IF(SUMPRODUCT(('Σύνοψη'!$F$2:$F289=$A99)*('Σύνοψη'!$C$2:$C289=E$3)*('Σύνοψη'!$G$2:$G289&lt;$B99)*('Σύνοψη'!$H$2:$H289&gt;$B99))&gt;0, CHAR(34), """") ), """")"),"""")</f>
        <v>"</v>
      </c>
      <c r="F99" s="67" t="str">
        <f ca="1">IFERROR(__xludf.DUMMYFUNCTION("IFERROR(IF(SUMPRODUCT(('Σύνοψη'!$F$2:$F289=$A99)*('Σύνοψη'!$C$2:$C289=F$3)*('Σύνοψη'!$G$2:$G289=$B99))&gt;0,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'Σύνοψη'!$C$2:$C289=F$3)), IF(SUMPRODUCT(('Σύνοψη'!$F$2:$F289=$A99)*('Σύνοψη'!$C$2:$C289=F$3)*('Σύνοψη'!$G$2:$G289&lt;$B99)*('Σύνοψη'!$H$2:$H289&gt;$B99))&gt;0, CHAR(34), """") ), """")"),"")</f>
        <v/>
      </c>
      <c r="G99" s="67" t="str">
        <f ca="1">IFERROR(__xludf.DUMMYFUNCTION("IFERROR(IF(SUMPRODUCT(('Σύνοψη'!$F$2:$F289=$A99)*('Σύνοψη'!$C$2:$C289=G$3)*('Σύνοψη'!$G$2:$G289=$B99))&gt;0,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'Σύνοψη'!$C$2:$C289=G$3)), IF(SUMPRODUCT(('Σύνοψη'!$F$2:$F289=$A99)*('Σύνοψη'!$C$2:$C289=G$3)*('Σύνοψη'!$G$2:$G289&lt;$B99)*('Σύνοψη'!$H$2:$H289&gt;$B99))&gt;0, CHAR(34), """") ), """")"),"")</f>
        <v/>
      </c>
      <c r="H99" s="67" t="str">
        <f ca="1">IFERROR(__xludf.DUMMYFUNCTION("IFERROR(IF(SUMPRODUCT(('Σύνοψη'!$F$2:$F289=$A99)*('Σύνοψη'!$C$2:$C289=H$3)*('Σύνοψη'!$G$2:$G289=$B99))&gt;0, TEXTJOIN(CHAR(10) &amp; ""-----------------------"" &amp; CHAR(10), TRUE, FILTER('Σύνοψη'!$E$2:$E289 &amp; "" - "" &amp; 'Σύνοψη'!$I$2:$I289 &amp; "" ("" &amp; 'Σύνοψη'!$J$2"&amp;":$J289 &amp; "")"", 'Σύνοψη'!$F$2:$F289=$A99, 'Σύνοψη'!$G$2:$G289=$B99, 'Σύνοψη'!$C$2:$C289=H$3)), IF(SUMPRODUCT(('Σύνοψη'!$F$2:$F289=$A99)*('Σύνοψη'!$C$2:$C289=H$3)*('Σύνοψη'!$G$2:$G289&lt;$B99)*('Σύνοψη'!$H$2:$H289&gt;$B99))&gt;0, CHAR(34), """") ), """")"),"")</f>
        <v/>
      </c>
      <c r="I99" s="3"/>
    </row>
    <row r="100" spans="1:9" s="100" customFormat="1" x14ac:dyDescent="0.25">
      <c r="A100" s="95">
        <f t="shared" si="6"/>
        <v>46273</v>
      </c>
      <c r="B100" s="89">
        <v>0.75</v>
      </c>
      <c r="C100" s="67" t="str">
        <f ca="1">IFERROR(__xludf.DUMMYFUNCTION("IFERROR(IF(SUMPRODUCT(('Σύνοψη'!$F$2:$F289=$A100)*('Σύνοψη'!$C$2:$C289=C$3)*('Σύνοψη'!$G$2:$G289=$B100))&gt;0,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'Σύνοψη'!$C$2:$C289=C$3)), IF(SUMPRODUCT(('Σύνοψη'!$F$2:$F289=$A100)*('Σύνοψη'!$C$2:$C289=C$3)*('Σύνοψη'!$G$2:$G289&lt;$B100)*('Σύνοψη'!$H$2:$H289&gt;$B100))&gt;0, CHAR(34), """") ), """")"),"")</f>
        <v/>
      </c>
      <c r="D100" s="67" t="str">
        <f ca="1">IFERROR(__xludf.DUMMYFUNCTION("IFERROR(IF(SUMPRODUCT(('Σύνοψη'!$F$2:$F289=$A100)*('Σύνοψη'!$C$2:$C289=D$3)*('Σύνοψη'!$G$2:$G289=$B100))&gt;0,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'Σύνοψη'!$C$2:$C289=D$3)), IF(SUMPRODUCT(('Σύνοψη'!$F$2:$F289=$A100)*('Σύνοψη'!$C$2:$C289=D$3)*('Σύνοψη'!$G$2:$G289&lt;$B100)*('Σύνοψη'!$H$2:$H289&gt;$B100))&gt;0, CHAR(34), """") ), """")"),"")</f>
        <v/>
      </c>
      <c r="E100" s="67" t="str">
        <f ca="1">IFERROR(__xludf.DUMMYFUNCTION("IFERROR(IF(SUMPRODUCT(('Σύνοψη'!$F$2:$F289=$A100)*('Σύνοψη'!$C$2:$C289=E$3)*('Σύνοψη'!$G$2:$G289=$B100))&gt;0,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'Σύνοψη'!$C$2:$C289=E$3)), IF(SUMPRODUCT(('Σύνοψη'!$F$2:$F289=$A100)*('Σύνοψη'!$C$2:$C289=E$3)*('Σύνοψη'!$G$2:$G289&lt;$B100)*('Σύνοψη'!$H$2:$H289&gt;$B100))&gt;0, CHAR(34), """") ), """")"),"")</f>
        <v/>
      </c>
      <c r="F100" s="67" t="str">
        <f ca="1">IFERROR(__xludf.DUMMYFUNCTION("IFERROR(IF(SUMPRODUCT(('Σύνοψη'!$F$2:$F289=$A100)*('Σύνοψη'!$C$2:$C289=F$3)*('Σύνοψη'!$G$2:$G289=$B100))&gt;0,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'Σύνοψη'!$C$2:$C289=F$3)), IF(SUMPRODUCT(('Σύνοψη'!$F$2:$F289=$A100)*('Σύνοψη'!$C$2:$C289=F$3)*('Σύνοψη'!$G$2:$G289&lt;$B100)*('Σύνοψη'!$H$2:$H289&gt;$B100))&gt;0, CHAR(34), """") ), """")"),"")</f>
        <v/>
      </c>
      <c r="G100" s="67" t="str">
        <f ca="1">IFERROR(__xludf.DUMMYFUNCTION("IFERROR(IF(SUMPRODUCT(('Σύνοψη'!$F$2:$F289=$A100)*('Σύνοψη'!$C$2:$C289=G$3)*('Σύνοψη'!$G$2:$G289=$B100))&gt;0,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'Σύνοψη'!$C$2:$C289=G$3)), IF(SUMPRODUCT(('Σύνοψη'!$F$2:$F289=$A100)*('Σύνοψη'!$C$2:$C289=G$3)*('Σύνοψη'!$G$2:$G289&lt;$B100)*('Σύνοψη'!$H$2:$H289&gt;$B100))&gt;0, CHAR(34), """") ), """")"),"")</f>
        <v/>
      </c>
      <c r="H100" s="67" t="str">
        <f ca="1">IFERROR(__xludf.DUMMYFUNCTION("IFERROR(IF(SUMPRODUCT(('Σύνοψη'!$F$2:$F289=$A100)*('Σύνοψη'!$C$2:$C289=H$3)*('Σύνοψη'!$G$2:$G289=$B100))&gt;0, TEXTJOIN(CHAR(10) &amp; ""-----------------------"" &amp; CHAR(10), TRUE, FILTER('Σύνοψη'!$E$2:$E289 &amp; "" - "" &amp; 'Σύνοψη'!$I$2:$I289 &amp; "" ("" &amp; 'Σύνοψη'!$J"&amp;"$2:$J289 &amp; "")"", 'Σύνοψη'!$F$2:$F289=$A100, 'Σύνοψη'!$G$2:$G289=$B100, 'Σύνοψη'!$C$2:$C289=H$3)), IF(SUMPRODUCT(('Σύνοψη'!$F$2:$F289=$A100)*('Σύνοψη'!$C$2:$C289=H$3)*('Σύνοψη'!$G$2:$G289&lt;$B100)*('Σύνοψη'!$H$2:$H289&gt;$B100))&gt;0, CHAR(34), """") ), """")"),"")</f>
        <v/>
      </c>
      <c r="I100" s="3"/>
    </row>
    <row r="101" spans="1:9" s="100" customFormat="1" x14ac:dyDescent="0.25">
      <c r="A101" s="95">
        <f t="shared" si="6"/>
        <v>46273</v>
      </c>
      <c r="B101" s="89">
        <v>0.79166666666666663</v>
      </c>
      <c r="C101" s="67" t="str">
        <f ca="1">IFERROR(__xludf.DUMMYFUNCTION("IFERROR(IF(SUMPRODUCT(('Σύνοψη'!$F$2:$F289=$A101)*('Σύνοψη'!$C$2:$C289=C$3)*('Σύνοψη'!$G$2:$G289=$B101))&gt;0,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'Σύνοψη'!$C$2:$C289=C$3)), IF(SUMPRODUCT(('Σύνοψη'!$F$2:$F289=$A101)*('Σύνοψη'!$C$2:$C289=C$3)*('Σύνοψη'!$G$2:$G289&lt;$B101)*('Σύνοψη'!$H$2:$H289&gt;$B101))&gt;0, CHAR(34), """") ), """")"),"")</f>
        <v/>
      </c>
      <c r="D101" s="67" t="str">
        <f ca="1">IFERROR(__xludf.DUMMYFUNCTION("IFERROR(IF(SUMPRODUCT(('Σύνοψη'!$F$2:$F289=$A101)*('Σύνοψη'!$C$2:$C289=D$3)*('Σύνοψη'!$G$2:$G289=$B101))&gt;0,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'Σύνοψη'!$C$2:$C289=D$3)), IF(SUMPRODUCT(('Σύνοψη'!$F$2:$F289=$A101)*('Σύνοψη'!$C$2:$C289=D$3)*('Σύνοψη'!$G$2:$G289&lt;$B101)*('Σύνοψη'!$H$2:$H289&gt;$B101))&gt;0, CHAR(34), """") ), """")"),"")</f>
        <v/>
      </c>
      <c r="E101" s="67" t="str">
        <f ca="1">IFERROR(__xludf.DUMMYFUNCTION("IFERROR(IF(SUMPRODUCT(('Σύνοψη'!$F$2:$F289=$A101)*('Σύνοψη'!$C$2:$C289=E$3)*('Σύνοψη'!$G$2:$G289=$B101))&gt;0,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'Σύνοψη'!$C$2:$C289=E$3)), IF(SUMPRODUCT(('Σύνοψη'!$F$2:$F289=$A101)*('Σύνοψη'!$C$2:$C289=E$3)*('Σύνοψη'!$G$2:$G289&lt;$B101)*('Σύνοψη'!$H$2:$H289&gt;$B101))&gt;0, CHAR(34), """") ), """")"),"")</f>
        <v/>
      </c>
      <c r="F101" s="67" t="str">
        <f ca="1">IFERROR(__xludf.DUMMYFUNCTION("IFERROR(IF(SUMPRODUCT(('Σύνοψη'!$F$2:$F289=$A101)*('Σύνοψη'!$C$2:$C289=F$3)*('Σύνοψη'!$G$2:$G289=$B101))&gt;0,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'Σύνοψη'!$C$2:$C289=F$3)), IF(SUMPRODUCT(('Σύνοψη'!$F$2:$F289=$A101)*('Σύνοψη'!$C$2:$C289=F$3)*('Σύνοψη'!$G$2:$G289&lt;$B101)*('Σύνοψη'!$H$2:$H289&gt;$B101))&gt;0, CHAR(34), """") ), """")"),"")</f>
        <v/>
      </c>
      <c r="G101" s="67" t="str">
        <f ca="1">IFERROR(__xludf.DUMMYFUNCTION("IFERROR(IF(SUMPRODUCT(('Σύνοψη'!$F$2:$F289=$A101)*('Σύνοψη'!$C$2:$C289=G$3)*('Σύνοψη'!$G$2:$G289=$B101))&gt;0,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'Σύνοψη'!$C$2:$C289=G$3)), IF(SUMPRODUCT(('Σύνοψη'!$F$2:$F289=$A101)*('Σύνοψη'!$C$2:$C289=G$3)*('Σύνοψη'!$G$2:$G289&lt;$B101)*('Σύνοψη'!$H$2:$H289&gt;$B101))&gt;0, CHAR(34), """") ), """")"),"")</f>
        <v/>
      </c>
      <c r="H101" s="67" t="str">
        <f ca="1">IFERROR(__xludf.DUMMYFUNCTION("IFERROR(IF(SUMPRODUCT(('Σύνοψη'!$F$2:$F289=$A101)*('Σύνοψη'!$C$2:$C289=H$3)*('Σύνοψη'!$G$2:$G289=$B101))&gt;0, TEXTJOIN(CHAR(10) &amp; ""-----------------------"" &amp; CHAR(10), TRUE, FILTER('Σύνοψη'!$E$2:$E289 &amp; "" - "" &amp; 'Σύνοψη'!$I$2:$I289 &amp; "" ("" &amp; 'Σύνοψη'!$J"&amp;"$2:$J289 &amp; "")"", 'Σύνοψη'!$F$2:$F289=$A101, 'Σύνοψη'!$G$2:$G289=$B101, 'Σύνοψη'!$C$2:$C289=H$3)), IF(SUMPRODUCT(('Σύνοψη'!$F$2:$F289=$A101)*('Σύνοψη'!$C$2:$C289=H$3)*('Σύνοψη'!$G$2:$G289&lt;$B101)*('Σύνοψη'!$H$2:$H289&gt;$B101))&gt;0, CHAR(34), """") ), """")"),"")</f>
        <v/>
      </c>
      <c r="I101" s="3"/>
    </row>
    <row r="102" spans="1:9" s="100" customFormat="1" x14ac:dyDescent="0.25">
      <c r="A102" s="95">
        <f t="shared" si="6"/>
        <v>46273</v>
      </c>
      <c r="B102" s="89">
        <v>0.83333333333333337</v>
      </c>
      <c r="C102" s="67" t="str">
        <f ca="1">IFERROR(__xludf.DUMMYFUNCTION("IFERROR(IF(SUMPRODUCT(('Σύνοψη'!$F$2:$F289=$A102)*('Σύνοψη'!$C$2:$C289=C$3)*('Σύνοψη'!$G$2:$G289=$B102))&gt;0,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'Σύνοψη'!$C$2:$C289=C$3)), IF(SUMPRODUCT(('Σύνοψη'!$F$2:$F289=$A102)*('Σύνοψη'!$C$2:$C289=C$3)*('Σύνοψη'!$G$2:$G289&lt;$B102)*('Σύνοψη'!$H$2:$H289&gt;$B102))&gt;0, CHAR(34), """") ), """")"),"")</f>
        <v/>
      </c>
      <c r="D102" s="67" t="str">
        <f ca="1">IFERROR(__xludf.DUMMYFUNCTION("IFERROR(IF(SUMPRODUCT(('Σύνοψη'!$F$2:$F289=$A102)*('Σύνοψη'!$C$2:$C289=D$3)*('Σύνοψη'!$G$2:$G289=$B102))&gt;0,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'Σύνοψη'!$C$2:$C289=D$3)), IF(SUMPRODUCT(('Σύνοψη'!$F$2:$F289=$A102)*('Σύνοψη'!$C$2:$C289=D$3)*('Σύνοψη'!$G$2:$G289&lt;$B102)*('Σύνοψη'!$H$2:$H289&gt;$B102))&gt;0, CHAR(34), """") ), """")"),"")</f>
        <v/>
      </c>
      <c r="E102" s="67" t="str">
        <f ca="1">IFERROR(__xludf.DUMMYFUNCTION("IFERROR(IF(SUMPRODUCT(('Σύνοψη'!$F$2:$F289=$A102)*('Σύνοψη'!$C$2:$C289=E$3)*('Σύνοψη'!$G$2:$G289=$B102))&gt;0,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'Σύνοψη'!$C$2:$C289=E$3)), IF(SUMPRODUCT(('Σύνοψη'!$F$2:$F289=$A102)*('Σύνοψη'!$C$2:$C289=E$3)*('Σύνοψη'!$G$2:$G289&lt;$B102)*('Σύνοψη'!$H$2:$H289&gt;$B102))&gt;0, CHAR(34), """") ), """")"),"")</f>
        <v/>
      </c>
      <c r="F102" s="67" t="str">
        <f ca="1">IFERROR(__xludf.DUMMYFUNCTION("IFERROR(IF(SUMPRODUCT(('Σύνοψη'!$F$2:$F289=$A102)*('Σύνοψη'!$C$2:$C289=F$3)*('Σύνοψη'!$G$2:$G289=$B102))&gt;0,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'Σύνοψη'!$C$2:$C289=F$3)), IF(SUMPRODUCT(('Σύνοψη'!$F$2:$F289=$A102)*('Σύνοψη'!$C$2:$C289=F$3)*('Σύνοψη'!$G$2:$G289&lt;$B102)*('Σύνοψη'!$H$2:$H289&gt;$B102))&gt;0, CHAR(34), """") ), """")"),"")</f>
        <v/>
      </c>
      <c r="G102" s="67" t="str">
        <f ca="1">IFERROR(__xludf.DUMMYFUNCTION("IFERROR(IF(SUMPRODUCT(('Σύνοψη'!$F$2:$F289=$A102)*('Σύνοψη'!$C$2:$C289=G$3)*('Σύνοψη'!$G$2:$G289=$B102))&gt;0,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'Σύνοψη'!$C$2:$C289=G$3)), IF(SUMPRODUCT(('Σύνοψη'!$F$2:$F289=$A102)*('Σύνοψη'!$C$2:$C289=G$3)*('Σύνοψη'!$G$2:$G289&lt;$B102)*('Σύνοψη'!$H$2:$H289&gt;$B102))&gt;0, CHAR(34), """") ), """")"),"")</f>
        <v/>
      </c>
      <c r="H102" s="67" t="str">
        <f ca="1">IFERROR(__xludf.DUMMYFUNCTION("IFERROR(IF(SUMPRODUCT(('Σύνοψη'!$F$2:$F289=$A102)*('Σύνοψη'!$C$2:$C289=H$3)*('Σύνοψη'!$G$2:$G289=$B102))&gt;0, TEXTJOIN(CHAR(10) &amp; ""-----------------------"" &amp; CHAR(10), TRUE, FILTER('Σύνοψη'!$E$2:$E289 &amp; "" - "" &amp; 'Σύνοψη'!$I$2:$I289 &amp; "" ("" &amp; 'Σύνοψη'!$J"&amp;"$2:$J289 &amp; "")"", 'Σύνοψη'!$F$2:$F289=$A102, 'Σύνοψη'!$G$2:$G289=$B102, 'Σύνοψη'!$C$2:$C289=H$3)), IF(SUMPRODUCT(('Σύνοψη'!$F$2:$F289=$A102)*('Σύνοψη'!$C$2:$C289=H$3)*('Σύνοψη'!$G$2:$G289&lt;$B102)*('Σύνοψη'!$H$2:$H289&gt;$B102))&gt;0, CHAR(34), """") ), """")"),"")</f>
        <v/>
      </c>
      <c r="I102" s="3"/>
    </row>
    <row r="103" spans="1:9" s="100" customFormat="1" x14ac:dyDescent="0.25">
      <c r="A103" s="95">
        <f t="shared" si="6"/>
        <v>46273</v>
      </c>
      <c r="B103" s="89">
        <v>0.875</v>
      </c>
      <c r="C103" s="67" t="str">
        <f ca="1">IFERROR(__xludf.DUMMYFUNCTION("IFERROR(IF(SUMPRODUCT(('Σύνοψη'!$F$2:$F289=$A103)*('Σύνοψη'!$C$2:$C289=C$3)*('Σύνοψη'!$G$2:$G289=$B103))&gt;0,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'Σύνοψη'!$C$2:$C289=C$3)), IF(SUMPRODUCT(('Σύνοψη'!$F$2:$F289=$A103)*('Σύνοψη'!$C$2:$C289=C$3)*('Σύνοψη'!$G$2:$G289&lt;$B103)*('Σύνοψη'!$H$2:$H289&gt;$B103))&gt;0, CHAR(34), """") ), """")"),"")</f>
        <v/>
      </c>
      <c r="D103" s="67" t="str">
        <f ca="1">IFERROR(__xludf.DUMMYFUNCTION("IFERROR(IF(SUMPRODUCT(('Σύνοψη'!$F$2:$F289=$A103)*('Σύνοψη'!$C$2:$C289=D$3)*('Σύνοψη'!$G$2:$G289=$B103))&gt;0,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'Σύνοψη'!$C$2:$C289=D$3)), IF(SUMPRODUCT(('Σύνοψη'!$F$2:$F289=$A103)*('Σύνοψη'!$C$2:$C289=D$3)*('Σύνοψη'!$G$2:$G289&lt;$B103)*('Σύνοψη'!$H$2:$H289&gt;$B103))&gt;0, CHAR(34), """") ), """")"),"")</f>
        <v/>
      </c>
      <c r="E103" s="67" t="str">
        <f ca="1">IFERROR(__xludf.DUMMYFUNCTION("IFERROR(IF(SUMPRODUCT(('Σύνοψη'!$F$2:$F289=$A103)*('Σύνοψη'!$C$2:$C289=E$3)*('Σύνοψη'!$G$2:$G289=$B103))&gt;0,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'Σύνοψη'!$C$2:$C289=E$3)), IF(SUMPRODUCT(('Σύνοψη'!$F$2:$F289=$A103)*('Σύνοψη'!$C$2:$C289=E$3)*('Σύνοψη'!$G$2:$G289&lt;$B103)*('Σύνοψη'!$H$2:$H289&gt;$B103))&gt;0, CHAR(34), """") ), """")"),"")</f>
        <v/>
      </c>
      <c r="F103" s="67" t="str">
        <f ca="1">IFERROR(__xludf.DUMMYFUNCTION("IFERROR(IF(SUMPRODUCT(('Σύνοψη'!$F$2:$F289=$A103)*('Σύνοψη'!$C$2:$C289=F$3)*('Σύνοψη'!$G$2:$G289=$B103))&gt;0,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'Σύνοψη'!$C$2:$C289=F$3)), IF(SUMPRODUCT(('Σύνοψη'!$F$2:$F289=$A103)*('Σύνοψη'!$C$2:$C289=F$3)*('Σύνοψη'!$G$2:$G289&lt;$B103)*('Σύνοψη'!$H$2:$H289&gt;$B103))&gt;0, CHAR(34), """") ), """")"),"")</f>
        <v/>
      </c>
      <c r="G103" s="67" t="str">
        <f ca="1">IFERROR(__xludf.DUMMYFUNCTION("IFERROR(IF(SUMPRODUCT(('Σύνοψη'!$F$2:$F289=$A103)*('Σύνοψη'!$C$2:$C289=G$3)*('Σύνοψη'!$G$2:$G289=$B103))&gt;0,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'Σύνοψη'!$C$2:$C289=G$3)), IF(SUMPRODUCT(('Σύνοψη'!$F$2:$F289=$A103)*('Σύνοψη'!$C$2:$C289=G$3)*('Σύνοψη'!$G$2:$G289&lt;$B103)*('Σύνοψη'!$H$2:$H289&gt;$B103))&gt;0, CHAR(34), """") ), """")"),"")</f>
        <v/>
      </c>
      <c r="H103" s="67" t="str">
        <f ca="1">IFERROR(__xludf.DUMMYFUNCTION("IFERROR(IF(SUMPRODUCT(('Σύνοψη'!$F$2:$F289=$A103)*('Σύνοψη'!$C$2:$C289=H$3)*('Σύνοψη'!$G$2:$G289=$B103))&gt;0, TEXTJOIN(CHAR(10) &amp; ""-----------------------"" &amp; CHAR(10), TRUE, FILTER('Σύνοψη'!$E$2:$E289 &amp; "" - "" &amp; 'Σύνοψη'!$I$2:$I289 &amp; "" ("" &amp; 'Σύνοψη'!$J"&amp;"$2:$J289 &amp; "")"", 'Σύνοψη'!$F$2:$F289=$A103, 'Σύνοψη'!$G$2:$G289=$B103, 'Σύνοψη'!$C$2:$C289=H$3)), IF(SUMPRODUCT(('Σύνοψη'!$F$2:$F289=$A103)*('Σύνοψη'!$C$2:$C289=H$3)*('Σύνοψη'!$G$2:$G289&lt;$B103)*('Σύνοψη'!$H$2:$H289&gt;$B103))&gt;0, CHAR(34), """") ), """")"),"")</f>
        <v/>
      </c>
      <c r="I103" s="3"/>
    </row>
    <row r="104" spans="1:9" s="100" customFormat="1" x14ac:dyDescent="0.25">
      <c r="A104" s="93">
        <f>$D$1+9</f>
        <v>46274</v>
      </c>
      <c r="B104" s="94">
        <v>0.33333333333333331</v>
      </c>
      <c r="C104" s="66" t="str">
        <f ca="1">IFERROR(__xludf.DUMMYFUNCTION("IFERROR(IF(SUMPRODUCT(('Σύνοψη'!$F$2:$F289=$A104)*('Σύνοψη'!$C$2:$C289=C$3)*('Σύνοψη'!$G$2:$G289=$B104))&gt;0,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'Σύνοψη'!$C$2:$C289=C$3)), IF(SUMPRODUCT(('Σύνοψη'!$F$2:$F289=$A104)*('Σύνοψη'!$C$2:$C289=C$3)*('Σύνοψη'!$G$2:$G289&lt;$B104)*('Σύνοψη'!$H$2:$H289&gt;$B104))&gt;0, CHAR(34), """") ), """")"),"")</f>
        <v/>
      </c>
      <c r="D104" s="66" t="str">
        <f ca="1">IFERROR(__xludf.DUMMYFUNCTION("IFERROR(IF(SUMPRODUCT(('Σύνοψη'!$F$2:$F289=$A104)*('Σύνοψη'!$C$2:$C289=D$3)*('Σύνοψη'!$G$2:$G289=$B104))&gt;0,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'Σύνοψη'!$C$2:$C289=D$3)), IF(SUMPRODUCT(('Σύνοψη'!$F$2:$F289=$A104)*('Σύνοψη'!$C$2:$C289=D$3)*('Σύνοψη'!$G$2:$G289&lt;$B104)*('Σύνοψη'!$H$2:$H289&gt;$B104))&gt;0, CHAR(34), """") ), """")"),"")</f>
        <v/>
      </c>
      <c r="E104" s="66" t="str">
        <f ca="1">IFERROR(__xludf.DUMMYFUNCTION("IFERROR(IF(SUMPRODUCT(('Σύνοψη'!$F$2:$F289=$A104)*('Σύνοψη'!$C$2:$C289=E$3)*('Σύνοψη'!$G$2:$G289=$B104))&gt;0,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'Σύνοψη'!$C$2:$C289=E$3)), IF(SUMPRODUCT(('Σύνοψη'!$F$2:$F289=$A104)*('Σύνοψη'!$C$2:$C289=E$3)*('Σύνοψη'!$G$2:$G289&lt;$B104)*('Σύνοψη'!$H$2:$H289&gt;$B104))&gt;0, CHAR(34), """") ), """")"),"")</f>
        <v/>
      </c>
      <c r="F104" s="66" t="str">
        <f ca="1">IFERROR(__xludf.DUMMYFUNCTION("IFERROR(IF(SUMPRODUCT(('Σύνοψη'!$F$2:$F289=$A104)*('Σύνοψη'!$C$2:$C289=F$3)*('Σύνοψη'!$G$2:$G289=$B104))&gt;0,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'Σύνοψη'!$C$2:$C289=F$3)), IF(SUMPRODUCT(('Σύνοψη'!$F$2:$F289=$A104)*('Σύνοψη'!$C$2:$C289=F$3)*('Σύνοψη'!$G$2:$G289&lt;$B104)*('Σύνοψη'!$H$2:$H289&gt;$B104))&gt;0, CHAR(34), """") ), """")"),"")</f>
        <v/>
      </c>
      <c r="G104" s="66" t="str">
        <f ca="1">IFERROR(__xludf.DUMMYFUNCTION("IFERROR(IF(SUMPRODUCT(('Σύνοψη'!$F$2:$F289=$A104)*('Σύνοψη'!$C$2:$C289=G$3)*('Σύνοψη'!$G$2:$G289=$B104))&gt;0,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'Σύνοψη'!$C$2:$C289=G$3)), IF(SUMPRODUCT(('Σύνοψη'!$F$2:$F289=$A104)*('Σύνοψη'!$C$2:$C289=G$3)*('Σύνοψη'!$G$2:$G289&lt;$B104)*('Σύνοψη'!$H$2:$H289&gt;$B104))&gt;0, CHAR(34), """") ), """")"),"")</f>
        <v/>
      </c>
      <c r="H104" s="66" t="str">
        <f ca="1">IFERROR(__xludf.DUMMYFUNCTION("IFERROR(IF(SUMPRODUCT(('Σύνοψη'!$F$2:$F289=$A104)*('Σύνοψη'!$C$2:$C289=H$3)*('Σύνοψη'!$G$2:$G289=$B104))&gt;0, TEXTJOIN(CHAR(10) &amp; ""-----------------------"" &amp; CHAR(10), TRUE, FILTER('Σύνοψη'!$E$2:$E289 &amp; "" - "" &amp; 'Σύνοψη'!$I$2:$I289 &amp; "" ("" &amp; 'Σύνοψη'!$J"&amp;"$2:$J289 &amp; "")"", 'Σύνοψη'!$F$2:$F289=$A104, 'Σύνοψη'!$G$2:$G289=$B104, 'Σύνοψη'!$C$2:$C289=H$3)), IF(SUMPRODUCT(('Σύνοψη'!$F$2:$F289=$A104)*('Σύνοψη'!$C$2:$C289=H$3)*('Σύνοψη'!$G$2:$G289&lt;$B104)*('Σύνοψη'!$H$2:$H289&gt;$B104))&gt;0, CHAR(34), """") ), """")"),"")</f>
        <v/>
      </c>
      <c r="I104" s="3"/>
    </row>
    <row r="105" spans="1:9" s="100" customFormat="1" ht="165" x14ac:dyDescent="0.25">
      <c r="A105" s="95">
        <f t="shared" ref="A105:A117" si="7">$A$104</f>
        <v>46274</v>
      </c>
      <c r="B105" s="89">
        <v>0.375</v>
      </c>
      <c r="C105" s="67" t="str">
        <f ca="1">IFERROR(__xludf.DUMMYFUNCTION("IFERROR(IF(SUMPRODUCT(('Σύνοψη'!$F$2:$F289=$A105)*('Σύνοψη'!$C$2:$C289=C$3)*('Σύνοψη'!$G$2:$G289=$B105))&gt;0,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'Σύνοψη'!$C$2:$C289=C$3)), IF(SUMPRODUCT(('Σύνοψη'!$F$2:$F289=$A105)*('Σύνοψη'!$C$2:$C289=C$3)*('Σύνοψη'!$G$2:$G289&lt;$B105)*('Σύνοψη'!$H$2:$H289&gt;$B105))&gt;0, CHAR(34), """") ), """")"),"Μακροσκοπική Ανατομική Ι (Πρακτικά) - 09:00 - 12:00 (Ανατομείο)")</f>
        <v>Μακροσκοπική Ανατομική Ι (Πρακτικά) - 09:00 - 12:00 (Ανατομείο)</v>
      </c>
      <c r="D105" s="67" t="str">
        <f ca="1">IFERROR(__xludf.DUMMYFUNCTION("IFERROR(IF(SUMPRODUCT(('Σύνοψη'!$F$2:$F289=$A105)*('Σύνοψη'!$C$2:$C289=D$3)*('Σύνοψη'!$G$2:$G289=$B105))&gt;0,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'Σύνοψη'!$C$2:$C289=D$3)), IF(SUMPRODUCT(('Σύνοψη'!$F$2:$F289=$A105)*('Σύνοψη'!$C$2:$C289=D$3)*('Σύνοψη'!$G$2:$G289&lt;$B105)*('Σύνοψη'!$H$2:$H289&gt;$B105))&gt;0, CHAR(34), """") ), """")"),"")</f>
        <v/>
      </c>
      <c r="E105" s="67" t="str">
        <f ca="1">IFERROR(__xludf.DUMMYFUNCTION("IFERROR(IF(SUMPRODUCT(('Σύνοψη'!$F$2:$F289=$A105)*('Σύνοψη'!$C$2:$C289=E$3)*('Σύνοψη'!$G$2:$G289=$B105))&gt;0,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'Σύνοψη'!$C$2:$C289=E$3)), IF(SUMPRODUCT(('Σύνοψη'!$F$2:$F289=$A105)*('Σύνοψη'!$C$2:$C289=E$3)*('Σύνοψη'!$G$2:$G289&lt;$B105)*('Σύνοψη'!$H$2:$H289&gt;$B105))&gt;0, CHAR(34), """") ), """")"),"")</f>
        <v/>
      </c>
      <c r="F105" s="67" t="str">
        <f ca="1">IFERROR(__xludf.DUMMYFUNCTION("IFERROR(IF(SUMPRODUCT(('Σύνοψη'!$F$2:$F289=$A105)*('Σύνοψη'!$C$2:$C289=F$3)*('Σύνοψη'!$G$2:$G289=$B105))&gt;0,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'Σύνοψη'!$C$2:$C289=F$3)), IF(SUMPRODUCT(('Σύνοψη'!$F$2:$F289=$A105)*('Σύνοψη'!$C$2:$C289=F$3)*('Σύνοψη'!$G$2:$G289&lt;$B105)*('Σύνοψη'!$H$2:$H289&gt;$B105))&gt;0, CHAR(34), """") ), """")"),"Υγιεινή Τροφίμων &amp; Σχετική Νομοθεσία Ι - 09:00 - 12:00 (Αμφιθέατρα)")</f>
        <v>Υγιεινή Τροφίμων &amp; Σχετική Νομοθεσία Ι - 09:00 - 12:00 (Αμφιθέατρα)</v>
      </c>
      <c r="G105" s="67" t="str">
        <f ca="1">IFERROR(__xludf.DUMMYFUNCTION("IFERROR(IF(SUMPRODUCT(('Σύνοψη'!$F$2:$F289=$A105)*('Σύνοψη'!$C$2:$C289=G$3)*('Σύνοψη'!$G$2:$G289=$B105))&gt;0,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'Σύνοψη'!$C$2:$C289=G$3)), IF(SUMPRODUCT(('Σύνοψη'!$F$2:$F289=$A105)*('Σύνοψη'!$C$2:$C289=G$3)*('Σύνοψη'!$G$2:$G289&lt;$B105)*('Σύνοψη'!$H$2:$H289&gt;$B105))&gt;0, CHAR(34), """") ), """")"),"Πρακτική Άσκηση στην Αναισθησιολογία, τη Χειρουργική &amp; την Απεικονιστική Διαγνωστική Ι (Πρακτικά) (2η ημέρα) - 09:00 - 17:00 (Χειρουργική Κλινική)
-----------------------
Πρακτική Άσκηση στην Αναισθησιολογία, τη Χειρουργική &amp; την Απεικονιστική Διαγνωστική"&amp;" ΙΙ (Πρακτικά) (2η ημέρα) - 09:00 - 17:00 (Χειρουργική Κλινική)")</f>
        <v>Πρακτική Άσκηση στην Αναισθησιολογία, τη Χειρουργική &amp; την Απεικονιστική Διαγνωστική Ι (Πρακτικά) (2η ημέρα) - 09:00 - 17:00 (Χειρουργική Κλινική)
-----------------------
Πρακτική Άσκηση στην Αναισθησιολογία, τη Χειρουργική &amp; την Απεικονιστική Διαγνωστική ΙΙ (Πρακτικά) (2η ημέρα) - 09:00 - 17:00 (Χειρουργική Κλινική)</v>
      </c>
      <c r="H105" s="67" t="str">
        <f ca="1">IFERROR(__xludf.DUMMYFUNCTION("IFERROR(IF(SUMPRODUCT(('Σύνοψη'!$F$2:$F289=$A105)*('Σύνοψη'!$C$2:$C289=H$3)*('Σύνοψη'!$G$2:$G289=$B105))&gt;0, TEXTJOIN(CHAR(10) &amp; ""-----------------------"" &amp; CHAR(10), TRUE, FILTER('Σύνοψη'!$E$2:$E289 &amp; "" - "" &amp; 'Σύνοψη'!$I$2:$I289 &amp; "" ("" &amp; 'Σύνοψη'!$J"&amp;"$2:$J289 &amp; "")"", 'Σύνοψη'!$F$2:$F289=$A105, 'Σύνοψη'!$G$2:$G289=$B105, 'Σύνοψη'!$C$2:$C289=H$3)), IF(SUMPRODUCT(('Σύνοψη'!$F$2:$F289=$A105)*('Σύνοψη'!$C$2:$C289=H$3)*('Σύνοψη'!$G$2:$G289&lt;$B105)*('Σύνοψη'!$H$2:$H289&gt;$B105))&gt;0, CHAR(34), """") ), """")"),"Μακροσκοπική Ανατομική Ι (ΠΠΣ) (Πρακτικά) - 09:00 - 12:00 (Ανατομείο)
-----------------------
Χειρουργική ΙV (Πρακτικά) (2η ημέρα) - 09:00 - 17:00 (Χειρουργική Κλινική)")</f>
        <v>Μακροσκοπική Ανατομική Ι (ΠΠΣ) (Πρακτικά) - 09:00 - 12:00 (Ανατομείο)
-----------------------
Χειρουργική ΙV (Πρακτικά) (2η ημέρα) - 09:00 - 17:00 (Χειρουργική Κλινική)</v>
      </c>
      <c r="I105" s="3"/>
    </row>
    <row r="106" spans="1:9" s="100" customFormat="1" x14ac:dyDescent="0.25">
      <c r="A106" s="95">
        <f t="shared" si="7"/>
        <v>46274</v>
      </c>
      <c r="B106" s="89">
        <v>0.41666666666666669</v>
      </c>
      <c r="C106" s="67" t="str">
        <f ca="1">IFERROR(__xludf.DUMMYFUNCTION("IFERROR(IF(SUMPRODUCT(('Σύνοψη'!$F$2:$F289=$A106)*('Σύνοψη'!$C$2:$C289=C$3)*('Σύνοψη'!$G$2:$G289=$B106))&gt;0,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'Σύνοψη'!$C$2:$C289=C$3)), IF(SUMPRODUCT(('Σύνοψη'!$F$2:$F289=$A106)*('Σύνοψη'!$C$2:$C289=C$3)*('Σύνοψη'!$G$2:$G289&lt;$B106)*('Σύνοψη'!$H$2:$H289&gt;$B106))&gt;0, CHAR(34), """") ), """")"),"""")</f>
        <v>"</v>
      </c>
      <c r="D106" s="67" t="str">
        <f ca="1">IFERROR(__xludf.DUMMYFUNCTION("IFERROR(IF(SUMPRODUCT(('Σύνοψη'!$F$2:$F289=$A106)*('Σύνοψη'!$C$2:$C289=D$3)*('Σύνοψη'!$G$2:$G289=$B106))&gt;0,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'Σύνοψη'!$C$2:$C289=D$3)), IF(SUMPRODUCT(('Σύνοψη'!$F$2:$F289=$A106)*('Σύνοψη'!$C$2:$C289=D$3)*('Σύνοψη'!$G$2:$G289&lt;$B106)*('Σύνοψη'!$H$2:$H289&gt;$B106))&gt;0, CHAR(34), """") ), """")"),"")</f>
        <v/>
      </c>
      <c r="E106" s="67" t="str">
        <f ca="1">IFERROR(__xludf.DUMMYFUNCTION("IFERROR(IF(SUMPRODUCT(('Σύνοψη'!$F$2:$F289=$A106)*('Σύνοψη'!$C$2:$C289=E$3)*('Σύνοψη'!$G$2:$G289=$B106))&gt;0,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'Σύνοψη'!$C$2:$C289=E$3)), IF(SUMPRODUCT(('Σύνοψη'!$F$2:$F289=$A106)*('Σύνοψη'!$C$2:$C289=E$3)*('Σύνοψη'!$G$2:$G289&lt;$B106)*('Σύνοψη'!$H$2:$H289&gt;$B106))&gt;0, CHAR(34), """") ), """")"),"")</f>
        <v/>
      </c>
      <c r="F106" s="67" t="str">
        <f ca="1">IFERROR(__xludf.DUMMYFUNCTION("IFERROR(IF(SUMPRODUCT(('Σύνοψη'!$F$2:$F289=$A106)*('Σύνοψη'!$C$2:$C289=F$3)*('Σύνοψη'!$G$2:$G289=$B106))&gt;0,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'Σύνοψη'!$C$2:$C289=F$3)), IF(SUMPRODUCT(('Σύνοψη'!$F$2:$F289=$A106)*('Σύνοψη'!$C$2:$C289=F$3)*('Σύνοψη'!$G$2:$G289&lt;$B106)*('Σύνοψη'!$H$2:$H289&gt;$B106))&gt;0, CHAR(34), """") ), """")"),"""")</f>
        <v>"</v>
      </c>
      <c r="G106" s="67" t="str">
        <f ca="1">IFERROR(__xludf.DUMMYFUNCTION("IFERROR(IF(SUMPRODUCT(('Σύνοψη'!$F$2:$F289=$A106)*('Σύνοψη'!$C$2:$C289=G$3)*('Σύνοψη'!$G$2:$G289=$B106))&gt;0,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'Σύνοψη'!$C$2:$C289=G$3)), IF(SUMPRODUCT(('Σύνοψη'!$F$2:$F289=$A106)*('Σύνοψη'!$C$2:$C289=G$3)*('Σύνοψη'!$G$2:$G289&lt;$B106)*('Σύνοψη'!$H$2:$H289&gt;$B106))&gt;0, CHAR(34), """") ), """")"),"""")</f>
        <v>"</v>
      </c>
      <c r="H106" s="67" t="str">
        <f ca="1">IFERROR(__xludf.DUMMYFUNCTION("IFERROR(IF(SUMPRODUCT(('Σύνοψη'!$F$2:$F289=$A106)*('Σύνοψη'!$C$2:$C289=H$3)*('Σύνοψη'!$G$2:$G289=$B106))&gt;0, TEXTJOIN(CHAR(10) &amp; ""-----------------------"" &amp; CHAR(10), TRUE, FILTER('Σύνοψη'!$E$2:$E289 &amp; "" - "" &amp; 'Σύνοψη'!$I$2:$I289 &amp; "" ("" &amp; 'Σύνοψη'!$J"&amp;"$2:$J289 &amp; "")"", 'Σύνοψη'!$F$2:$F289=$A106, 'Σύνοψη'!$G$2:$G289=$B106, 'Σύνοψη'!$C$2:$C289=H$3)), IF(SUMPRODUCT(('Σύνοψη'!$F$2:$F289=$A106)*('Σύνοψη'!$C$2:$C289=H$3)*('Σύνοψη'!$G$2:$G289&lt;$B106)*('Σύνοψη'!$H$2:$H289&gt;$B106))&gt;0, CHAR(34), """") ), """")"),"""")</f>
        <v>"</v>
      </c>
      <c r="I106" s="3"/>
    </row>
    <row r="107" spans="1:9" s="100" customFormat="1" x14ac:dyDescent="0.25">
      <c r="A107" s="95">
        <f t="shared" si="7"/>
        <v>46274</v>
      </c>
      <c r="B107" s="89">
        <v>0.45833333333333331</v>
      </c>
      <c r="C107" s="67" t="str">
        <f ca="1">IFERROR(__xludf.DUMMYFUNCTION("IFERROR(IF(SUMPRODUCT(('Σύνοψη'!$F$2:$F289=$A107)*('Σύνοψη'!$C$2:$C289=C$3)*('Σύνοψη'!$G$2:$G289=$B107))&gt;0,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'Σύνοψη'!$C$2:$C289=C$3)), IF(SUMPRODUCT(('Σύνοψη'!$F$2:$F289=$A107)*('Σύνοψη'!$C$2:$C289=C$3)*('Σύνοψη'!$G$2:$G289&lt;$B107)*('Σύνοψη'!$H$2:$H289&gt;$B107))&gt;0, CHAR(34), """") ), """")"),"""")</f>
        <v>"</v>
      </c>
      <c r="D107" s="67" t="str">
        <f ca="1">IFERROR(__xludf.DUMMYFUNCTION("IFERROR(IF(SUMPRODUCT(('Σύνοψη'!$F$2:$F289=$A107)*('Σύνοψη'!$C$2:$C289=D$3)*('Σύνοψη'!$G$2:$G289=$B107))&gt;0,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'Σύνοψη'!$C$2:$C289=D$3)), IF(SUMPRODUCT(('Σύνοψη'!$F$2:$F289=$A107)*('Σύνοψη'!$C$2:$C289=D$3)*('Σύνοψη'!$G$2:$G289&lt;$B107)*('Σύνοψη'!$H$2:$H289&gt;$B107))&gt;0, CHAR(34), """") ), """")"),"")</f>
        <v/>
      </c>
      <c r="E107" s="67" t="str">
        <f ca="1">IFERROR(__xludf.DUMMYFUNCTION("IFERROR(IF(SUMPRODUCT(('Σύνοψη'!$F$2:$F289=$A107)*('Σύνοψη'!$C$2:$C289=E$3)*('Σύνοψη'!$G$2:$G289=$B107))&gt;0,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'Σύνοψη'!$C$2:$C289=E$3)), IF(SUMPRODUCT(('Σύνοψη'!$F$2:$F289=$A107)*('Σύνοψη'!$C$2:$C289=E$3)*('Σύνοψη'!$G$2:$G289&lt;$B107)*('Σύνοψη'!$H$2:$H289&gt;$B107))&gt;0, CHAR(34), """") ), """")"),"")</f>
        <v/>
      </c>
      <c r="F107" s="67" t="str">
        <f ca="1">IFERROR(__xludf.DUMMYFUNCTION("IFERROR(IF(SUMPRODUCT(('Σύνοψη'!$F$2:$F289=$A107)*('Σύνοψη'!$C$2:$C289=F$3)*('Σύνοψη'!$G$2:$G289=$B107))&gt;0,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'Σύνοψη'!$C$2:$C289=F$3)), IF(SUMPRODUCT(('Σύνοψη'!$F$2:$F289=$A107)*('Σύνοψη'!$C$2:$C289=F$3)*('Σύνοψη'!$G$2:$G289&lt;$B107)*('Σύνοψη'!$H$2:$H289&gt;$B107))&gt;0, CHAR(34), """") ), """")"),"""")</f>
        <v>"</v>
      </c>
      <c r="G107" s="67" t="str">
        <f ca="1">IFERROR(__xludf.DUMMYFUNCTION("IFERROR(IF(SUMPRODUCT(('Σύνοψη'!$F$2:$F289=$A107)*('Σύνοψη'!$C$2:$C289=G$3)*('Σύνοψη'!$G$2:$G289=$B107))&gt;0,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'Σύνοψη'!$C$2:$C289=G$3)), IF(SUMPRODUCT(('Σύνοψη'!$F$2:$F289=$A107)*('Σύνοψη'!$C$2:$C289=G$3)*('Σύνοψη'!$G$2:$G289&lt;$B107)*('Σύνοψη'!$H$2:$H289&gt;$B107))&gt;0, CHAR(34), """") ), """")"),"""")</f>
        <v>"</v>
      </c>
      <c r="H107" s="67" t="str">
        <f ca="1">IFERROR(__xludf.DUMMYFUNCTION("IFERROR(IF(SUMPRODUCT(('Σύνοψη'!$F$2:$F289=$A107)*('Σύνοψη'!$C$2:$C289=H$3)*('Σύνοψη'!$G$2:$G289=$B107))&gt;0, TEXTJOIN(CHAR(10) &amp; ""-----------------------"" &amp; CHAR(10), TRUE, FILTER('Σύνοψη'!$E$2:$E289 &amp; "" - "" &amp; 'Σύνοψη'!$I$2:$I289 &amp; "" ("" &amp; 'Σύνοψη'!$J"&amp;"$2:$J289 &amp; "")"", 'Σύνοψη'!$F$2:$F289=$A107, 'Σύνοψη'!$G$2:$G289=$B107, 'Σύνοψη'!$C$2:$C289=H$3)), IF(SUMPRODUCT(('Σύνοψη'!$F$2:$F289=$A107)*('Σύνοψη'!$C$2:$C289=H$3)*('Σύνοψη'!$G$2:$G289&lt;$B107)*('Σύνοψη'!$H$2:$H289&gt;$B107))&gt;0, CHAR(34), """") ), """")"),"""")</f>
        <v>"</v>
      </c>
      <c r="I107" s="3"/>
    </row>
    <row r="108" spans="1:9" s="100" customFormat="1" ht="30" x14ac:dyDescent="0.25">
      <c r="A108" s="95">
        <f t="shared" si="7"/>
        <v>46274</v>
      </c>
      <c r="B108" s="89">
        <v>0.5</v>
      </c>
      <c r="C108" s="67" t="str">
        <f ca="1">IFERROR(__xludf.DUMMYFUNCTION("IFERROR(IF(SUMPRODUCT(('Σύνοψη'!$F$2:$F289=$A108)*('Σύνοψη'!$C$2:$C289=C$3)*('Σύνοψη'!$G$2:$G289=$B108))&gt;0,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'Σύνοψη'!$C$2:$C289=C$3)), IF(SUMPRODUCT(('Σύνοψη'!$F$2:$F289=$A108)*('Σύνοψη'!$C$2:$C289=C$3)*('Σύνοψη'!$G$2:$G289&lt;$B108)*('Σύνοψη'!$H$2:$H289&gt;$B108))&gt;0, CHAR(34), """") ), """")"),"")</f>
        <v/>
      </c>
      <c r="D108" s="67" t="str">
        <f ca="1">IFERROR(__xludf.DUMMYFUNCTION("IFERROR(IF(SUMPRODUCT(('Σύνοψη'!$F$2:$F289=$A108)*('Σύνοψη'!$C$2:$C289=D$3)*('Σύνοψη'!$G$2:$G289=$B108))&gt;0,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'Σύνοψη'!$C$2:$C289=D$3)), IF(SUMPRODUCT(('Σύνοψη'!$F$2:$F289=$A108)*('Σύνοψη'!$C$2:$C289=D$3)*('Σύνοψη'!$G$2:$G289&lt;$B108)*('Σύνοψη'!$H$2:$H289&gt;$B108))&gt;0, CHAR(34), """") ), """")"),"")</f>
        <v/>
      </c>
      <c r="E108" s="67" t="str">
        <f ca="1">IFERROR(__xludf.DUMMYFUNCTION("IFERROR(IF(SUMPRODUCT(('Σύνοψη'!$F$2:$F289=$A108)*('Σύνοψη'!$C$2:$C289=E$3)*('Σύνοψη'!$G$2:$G289=$B108))&gt;0,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'Σύνοψη'!$C$2:$C289=E$3)), IF(SUMPRODUCT(('Σύνοψη'!$F$2:$F289=$A108)*('Σύνοψη'!$C$2:$C289=E$3)*('Σύνοψη'!$G$2:$G289&lt;$B108)*('Σύνοψη'!$H$2:$H289&gt;$B108))&gt;0, CHAR(34), """") ), """")"),"Ειδική Παθολογική Ανατομική - 12:00 - 15:00 (Νέες Αίθουσες)")</f>
        <v>Ειδική Παθολογική Ανατομική - 12:00 - 15:00 (Νέες Αίθουσες)</v>
      </c>
      <c r="F108" s="67" t="str">
        <f ca="1">IFERROR(__xludf.DUMMYFUNCTION("IFERROR(IF(SUMPRODUCT(('Σύνοψη'!$F$2:$F289=$A108)*('Σύνοψη'!$C$2:$C289=F$3)*('Σύνοψη'!$G$2:$G289=$B108))&gt;0,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'Σύνοψη'!$C$2:$C289=F$3)), IF(SUMPRODUCT(('Σύνοψη'!$F$2:$F289=$A108)*('Σύνοψη'!$C$2:$C289=F$3)*('Σύνοψη'!$G$2:$G289&lt;$B108)*('Σύνοψη'!$H$2:$H289&gt;$B108))&gt;0, CHAR(34), """") ), """")"),"")</f>
        <v/>
      </c>
      <c r="G108" s="67" t="str">
        <f ca="1">IFERROR(__xludf.DUMMYFUNCTION("IFERROR(IF(SUMPRODUCT(('Σύνοψη'!$F$2:$F289=$A108)*('Σύνοψη'!$C$2:$C289=G$3)*('Σύνοψη'!$G$2:$G289=$B108))&gt;0,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'Σύνοψη'!$C$2:$C289=G$3)), IF(SUMPRODUCT(('Σύνοψη'!$F$2:$F289=$A108)*('Σύνοψη'!$C$2:$C289=G$3)*('Σύνοψη'!$G$2:$G289&lt;$B108)*('Σύνοψη'!$H$2:$H289&gt;$B108))&gt;0, CHAR(34), """") ), """")"),"""")</f>
        <v>"</v>
      </c>
      <c r="H108" s="67" t="str">
        <f ca="1">IFERROR(__xludf.DUMMYFUNCTION("IFERROR(IF(SUMPRODUCT(('Σύνοψη'!$F$2:$F289=$A108)*('Σύνοψη'!$C$2:$C289=H$3)*('Σύνοψη'!$G$2:$G289=$B108))&gt;0, TEXTJOIN(CHAR(10) &amp; ""-----------------------"" &amp; CHAR(10), TRUE, FILTER('Σύνοψη'!$E$2:$E289 &amp; "" - "" &amp; 'Σύνοψη'!$I$2:$I289 &amp; "" ("" &amp; 'Σύνοψη'!$J"&amp;"$2:$J289 &amp; "")"", 'Σύνοψη'!$F$2:$F289=$A108, 'Σύνοψη'!$G$2:$G289=$B108, 'Σύνοψη'!$C$2:$C289=H$3)), IF(SUMPRODUCT(('Σύνοψη'!$F$2:$F289=$A108)*('Σύνοψη'!$C$2:$C289=H$3)*('Σύνοψη'!$G$2:$G289&lt;$B108)*('Σύνοψη'!$H$2:$H289&gt;$B108))&gt;0, CHAR(34), """") ), """")"),"""")</f>
        <v>"</v>
      </c>
      <c r="I108" s="3"/>
    </row>
    <row r="109" spans="1:9" s="100" customFormat="1" x14ac:dyDescent="0.25">
      <c r="A109" s="95">
        <f t="shared" si="7"/>
        <v>46274</v>
      </c>
      <c r="B109" s="89">
        <v>0.54166666666666663</v>
      </c>
      <c r="C109" s="67" t="str">
        <f ca="1">IFERROR(__xludf.DUMMYFUNCTION("IFERROR(IF(SUMPRODUCT(('Σύνοψη'!$F$2:$F289=$A109)*('Σύνοψη'!$C$2:$C289=C$3)*('Σύνοψη'!$G$2:$G289=$B109))&gt;0,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'Σύνοψη'!$C$2:$C289=C$3)), IF(SUMPRODUCT(('Σύνοψη'!$F$2:$F289=$A109)*('Σύνοψη'!$C$2:$C289=C$3)*('Σύνοψη'!$G$2:$G289&lt;$B109)*('Σύνοψη'!$H$2:$H289&gt;$B109))&gt;0, CHAR(34), """") ), """")"),"")</f>
        <v/>
      </c>
      <c r="D109" s="67" t="str">
        <f ca="1">IFERROR(__xludf.DUMMYFUNCTION("IFERROR(IF(SUMPRODUCT(('Σύνοψη'!$F$2:$F289=$A109)*('Σύνοψη'!$C$2:$C289=D$3)*('Σύνοψη'!$G$2:$G289=$B109))&gt;0,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'Σύνοψη'!$C$2:$C289=D$3)), IF(SUMPRODUCT(('Σύνοψη'!$F$2:$F289=$A109)*('Σύνοψη'!$C$2:$C289=D$3)*('Σύνοψη'!$G$2:$G289&lt;$B109)*('Σύνοψη'!$H$2:$H289&gt;$B109))&gt;0, CHAR(34), """") ), """")"),"")</f>
        <v/>
      </c>
      <c r="E109" s="67" t="str">
        <f ca="1">IFERROR(__xludf.DUMMYFUNCTION("IFERROR(IF(SUMPRODUCT(('Σύνοψη'!$F$2:$F289=$A109)*('Σύνοψη'!$C$2:$C289=E$3)*('Σύνοψη'!$G$2:$G289=$B109))&gt;0,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'Σύνοψη'!$C$2:$C289=E$3)), IF(SUMPRODUCT(('Σύνοψη'!$F$2:$F289=$A109)*('Σύνοψη'!$C$2:$C289=E$3)*('Σύνοψη'!$G$2:$G289&lt;$B109)*('Σύνοψη'!$H$2:$H289&gt;$B109))&gt;0, CHAR(34), """") ), """")"),"""")</f>
        <v>"</v>
      </c>
      <c r="F109" s="67" t="str">
        <f ca="1">IFERROR(__xludf.DUMMYFUNCTION("IFERROR(IF(SUMPRODUCT(('Σύνοψη'!$F$2:$F289=$A109)*('Σύνοψη'!$C$2:$C289=F$3)*('Σύνοψη'!$G$2:$G289=$B109))&gt;0,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'Σύνοψη'!$C$2:$C289=F$3)), IF(SUMPRODUCT(('Σύνοψη'!$F$2:$F289=$A109)*('Σύνοψη'!$C$2:$C289=F$3)*('Σύνοψη'!$G$2:$G289&lt;$B109)*('Σύνοψη'!$H$2:$H289&gt;$B109))&gt;0, CHAR(34), """") ), """")"),"")</f>
        <v/>
      </c>
      <c r="G109" s="67" t="str">
        <f ca="1">IFERROR(__xludf.DUMMYFUNCTION("IFERROR(IF(SUMPRODUCT(('Σύνοψη'!$F$2:$F289=$A109)*('Σύνοψη'!$C$2:$C289=G$3)*('Σύνοψη'!$G$2:$G289=$B109))&gt;0,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'Σύνοψη'!$C$2:$C289=G$3)), IF(SUMPRODUCT(('Σύνοψη'!$F$2:$F289=$A109)*('Σύνοψη'!$C$2:$C289=G$3)*('Σύνοψη'!$G$2:$G289&lt;$B109)*('Σύνοψη'!$H$2:$H289&gt;$B109))&gt;0, CHAR(34), """") ), """")"),"""")</f>
        <v>"</v>
      </c>
      <c r="H109" s="67" t="str">
        <f ca="1">IFERROR(__xludf.DUMMYFUNCTION("IFERROR(IF(SUMPRODUCT(('Σύνοψη'!$F$2:$F289=$A109)*('Σύνοψη'!$C$2:$C289=H$3)*('Σύνοψη'!$G$2:$G289=$B109))&gt;0, TEXTJOIN(CHAR(10) &amp; ""-----------------------"" &amp; CHAR(10), TRUE, FILTER('Σύνοψη'!$E$2:$E289 &amp; "" - "" &amp; 'Σύνοψη'!$I$2:$I289 &amp; "" ("" &amp; 'Σύνοψη'!$J"&amp;"$2:$J289 &amp; "")"", 'Σύνοψη'!$F$2:$F289=$A109, 'Σύνοψη'!$G$2:$G289=$B109, 'Σύνοψη'!$C$2:$C289=H$3)), IF(SUMPRODUCT(('Σύνοψη'!$F$2:$F289=$A109)*('Σύνοψη'!$C$2:$C289=H$3)*('Σύνοψη'!$G$2:$G289&lt;$B109)*('Σύνοψη'!$H$2:$H289&gt;$B109))&gt;0, CHAR(34), """") ), """")"),"""")</f>
        <v>"</v>
      </c>
      <c r="I109" s="3"/>
    </row>
    <row r="110" spans="1:9" s="100" customFormat="1" x14ac:dyDescent="0.25">
      <c r="A110" s="95">
        <f t="shared" si="7"/>
        <v>46274</v>
      </c>
      <c r="B110" s="89">
        <v>0.58333333333333337</v>
      </c>
      <c r="C110" s="67" t="str">
        <f ca="1">IFERROR(__xludf.DUMMYFUNCTION("IFERROR(IF(SUMPRODUCT(('Σύνοψη'!$F$2:$F289=$A110)*('Σύνοψη'!$C$2:$C289=C$3)*('Σύνοψη'!$G$2:$G289=$B110))&gt;0,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'Σύνοψη'!$C$2:$C289=C$3)), IF(SUMPRODUCT(('Σύνοψη'!$F$2:$F289=$A110)*('Σύνοψη'!$C$2:$C289=C$3)*('Σύνοψη'!$G$2:$G289&lt;$B110)*('Σύνοψη'!$H$2:$H289&gt;$B110))&gt;0, CHAR(34), """") ), """")"),"")</f>
        <v/>
      </c>
      <c r="D110" s="67" t="str">
        <f ca="1">IFERROR(__xludf.DUMMYFUNCTION("IFERROR(IF(SUMPRODUCT(('Σύνοψη'!$F$2:$F289=$A110)*('Σύνοψη'!$C$2:$C289=D$3)*('Σύνοψη'!$G$2:$G289=$B110))&gt;0,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'Σύνοψη'!$C$2:$C289=D$3)), IF(SUMPRODUCT(('Σύνοψη'!$F$2:$F289=$A110)*('Σύνοψη'!$C$2:$C289=D$3)*('Σύνοψη'!$G$2:$G289&lt;$B110)*('Σύνοψη'!$H$2:$H289&gt;$B110))&gt;0, CHAR(34), """") ), """")"),"")</f>
        <v/>
      </c>
      <c r="E110" s="67" t="str">
        <f ca="1">IFERROR(__xludf.DUMMYFUNCTION("IFERROR(IF(SUMPRODUCT(('Σύνοψη'!$F$2:$F289=$A110)*('Σύνοψη'!$C$2:$C289=E$3)*('Σύνοψη'!$G$2:$G289=$B110))&gt;0,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'Σύνοψη'!$C$2:$C289=E$3)), IF(SUMPRODUCT(('Σύνοψη'!$F$2:$F289=$A110)*('Σύνοψη'!$C$2:$C289=E$3)*('Σύνοψη'!$G$2:$G289&lt;$B110)*('Σύνοψη'!$H$2:$H289&gt;$B110))&gt;0, CHAR(34), """") ), """")"),"""")</f>
        <v>"</v>
      </c>
      <c r="F110" s="67" t="str">
        <f ca="1">IFERROR(__xludf.DUMMYFUNCTION("IFERROR(IF(SUMPRODUCT(('Σύνοψη'!$F$2:$F289=$A110)*('Σύνοψη'!$C$2:$C289=F$3)*('Σύνοψη'!$G$2:$G289=$B110))&gt;0,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'Σύνοψη'!$C$2:$C289=F$3)), IF(SUMPRODUCT(('Σύνοψη'!$F$2:$F289=$A110)*('Σύνοψη'!$C$2:$C289=F$3)*('Σύνοψη'!$G$2:$G289&lt;$B110)*('Σύνοψη'!$H$2:$H289&gt;$B110))&gt;0, CHAR(34), """") ), """")"),"")</f>
        <v/>
      </c>
      <c r="G110" s="67" t="str">
        <f ca="1">IFERROR(__xludf.DUMMYFUNCTION("IFERROR(IF(SUMPRODUCT(('Σύνοψη'!$F$2:$F289=$A110)*('Σύνοψη'!$C$2:$C289=G$3)*('Σύνοψη'!$G$2:$G289=$B110))&gt;0,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'Σύνοψη'!$C$2:$C289=G$3)), IF(SUMPRODUCT(('Σύνοψη'!$F$2:$F289=$A110)*('Σύνοψη'!$C$2:$C289=G$3)*('Σύνοψη'!$G$2:$G289&lt;$B110)*('Σύνοψη'!$H$2:$H289&gt;$B110))&gt;0, CHAR(34), """") ), """")"),"""")</f>
        <v>"</v>
      </c>
      <c r="H110" s="67" t="str">
        <f ca="1">IFERROR(__xludf.DUMMYFUNCTION("IFERROR(IF(SUMPRODUCT(('Σύνοψη'!$F$2:$F289=$A110)*('Σύνοψη'!$C$2:$C289=H$3)*('Σύνοψη'!$G$2:$G289=$B110))&gt;0, TEXTJOIN(CHAR(10) &amp; ""-----------------------"" &amp; CHAR(10), TRUE, FILTER('Σύνοψη'!$E$2:$E289 &amp; "" - "" &amp; 'Σύνοψη'!$I$2:$I289 &amp; "" ("" &amp; 'Σύνοψη'!$J"&amp;"$2:$J289 &amp; "")"", 'Σύνοψη'!$F$2:$F289=$A110, 'Σύνοψη'!$G$2:$G289=$B110, 'Σύνοψη'!$C$2:$C289=H$3)), IF(SUMPRODUCT(('Σύνοψη'!$F$2:$F289=$A110)*('Σύνοψη'!$C$2:$C289=H$3)*('Σύνοψη'!$G$2:$G289&lt;$B110)*('Σύνοψη'!$H$2:$H289&gt;$B110))&gt;0, CHAR(34), """") ), """")"),"""")</f>
        <v>"</v>
      </c>
      <c r="I110" s="3"/>
    </row>
    <row r="111" spans="1:9" s="100" customFormat="1" ht="45" x14ac:dyDescent="0.25">
      <c r="A111" s="95">
        <f t="shared" si="7"/>
        <v>46274</v>
      </c>
      <c r="B111" s="89">
        <v>0.625</v>
      </c>
      <c r="C111" s="67" t="str">
        <f ca="1">IFERROR(__xludf.DUMMYFUNCTION("IFERROR(IF(SUMPRODUCT(('Σύνοψη'!$F$2:$F289=$A111)*('Σύνοψη'!$C$2:$C289=C$3)*('Σύνοψη'!$G$2:$G289=$B111))&gt;0,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'Σύνοψη'!$C$2:$C289=C$3)), IF(SUMPRODUCT(('Σύνοψη'!$F$2:$F289=$A111)*('Σύνοψη'!$C$2:$C289=C$3)*('Σύνοψη'!$G$2:$G289&lt;$B111)*('Σύνοψη'!$H$2:$H289&gt;$B111))&gt;0, CHAR(34), """") ), """")"),"Διατροφή των Ζώων &amp; Στοιχεία Βιολογίας Φυτών (Θεωρία) - 15:00 - 18:00 (Αμφιθέατρα)")</f>
        <v>Διατροφή των Ζώων &amp; Στοιχεία Βιολογίας Φυτών (Θεωρία) - 15:00 - 18:00 (Αμφιθέατρα)</v>
      </c>
      <c r="D111" s="67" t="str">
        <f ca="1">IFERROR(__xludf.DUMMYFUNCTION("IFERROR(IF(SUMPRODUCT(('Σύνοψη'!$F$2:$F289=$A111)*('Σύνοψη'!$C$2:$C289=D$3)*('Σύνοψη'!$G$2:$G289=$B111))&gt;0,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'Σύνοψη'!$C$2:$C289=D$3)), IF(SUMPRODUCT(('Σύνοψη'!$F$2:$F289=$A111)*('Σύνοψη'!$C$2:$C289=D$3)*('Σύνοψη'!$G$2:$G289&lt;$B111)*('Σύνοψη'!$H$2:$H289&gt;$B111))&gt;0, CHAR(34), """") ), """")"),"")</f>
        <v/>
      </c>
      <c r="E111" s="67" t="str">
        <f ca="1">IFERROR(__xludf.DUMMYFUNCTION("IFERROR(IF(SUMPRODUCT(('Σύνοψη'!$F$2:$F289=$A111)*('Σύνοψη'!$C$2:$C289=E$3)*('Σύνοψη'!$G$2:$G289=$B111))&gt;0,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'Σύνοψη'!$C$2:$C289=E$3)), IF(SUMPRODUCT(('Σύνοψη'!$F$2:$F289=$A111)*('Σύνοψη'!$C$2:$C289=E$3)*('Σύνοψη'!$G$2:$G289&lt;$B111)*('Σύνοψη'!$H$2:$H289&gt;$B111))&gt;0, CHAR(34), """") ), """")"),"")</f>
        <v/>
      </c>
      <c r="F111" s="67" t="str">
        <f ca="1">IFERROR(__xludf.DUMMYFUNCTION("IFERROR(IF(SUMPRODUCT(('Σύνοψη'!$F$2:$F289=$A111)*('Σύνοψη'!$C$2:$C289=F$3)*('Σύνοψη'!$G$2:$G289=$B111))&gt;0,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'Σύνοψη'!$C$2:$C289=F$3)), IF(SUMPRODUCT(('Σύνοψη'!$F$2:$F289=$A111)*('Σύνοψη'!$C$2:$C289=F$3)*('Σύνοψη'!$G$2:$G289&lt;$B111)*('Σύνοψη'!$H$2:$H289&gt;$B111))&gt;0, CHAR(34), """") ), """")"),"")</f>
        <v/>
      </c>
      <c r="G111" s="67" t="str">
        <f ca="1">IFERROR(__xludf.DUMMYFUNCTION("IFERROR(IF(SUMPRODUCT(('Σύνοψη'!$F$2:$F289=$A111)*('Σύνοψη'!$C$2:$C289=G$3)*('Σύνοψη'!$G$2:$G289=$B111))&gt;0,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'Σύνοψη'!$C$2:$C289=G$3)), IF(SUMPRODUCT(('Σύνοψη'!$F$2:$F289=$A111)*('Σύνοψη'!$C$2:$C289=G$3)*('Σύνοψη'!$G$2:$G289&lt;$B111)*('Σύνοψη'!$H$2:$H289&gt;$B111))&gt;0, CHAR(34), """") ), """")"),"""")</f>
        <v>"</v>
      </c>
      <c r="H111" s="67" t="str">
        <f ca="1">IFERROR(__xludf.DUMMYFUNCTION("IFERROR(IF(SUMPRODUCT(('Σύνοψη'!$F$2:$F289=$A111)*('Σύνοψη'!$C$2:$C289=H$3)*('Σύνοψη'!$G$2:$G289=$B111))&gt;0, TEXTJOIN(CHAR(10) &amp; ""-----------------------"" &amp; CHAR(10), TRUE, FILTER('Σύνοψη'!$E$2:$E289 &amp; "" - "" &amp; 'Σύνοψη'!$I$2:$I289 &amp; "" ("" &amp; 'Σύνοψη'!$J"&amp;"$2:$J289 &amp; "")"", 'Σύνοψη'!$F$2:$F289=$A111, 'Σύνοψη'!$G$2:$G289=$B111, 'Σύνοψη'!$C$2:$C289=H$3)), IF(SUMPRODUCT(('Σύνοψη'!$F$2:$F289=$A111)*('Σύνοψη'!$C$2:$C289=H$3)*('Σύνοψη'!$G$2:$G289&lt;$B111)*('Σύνοψη'!$H$2:$H289&gt;$B111))&gt;0, CHAR(34), """") ), """")"),"Διατροφή των ζώων (ΠΠΣ) - 15:00 - 18:00 (Αμφιθέατρα)")</f>
        <v>Διατροφή των ζώων (ΠΠΣ) - 15:00 - 18:00 (Αμφιθέατρα)</v>
      </c>
      <c r="I111" s="3"/>
    </row>
    <row r="112" spans="1:9" s="100" customFormat="1" x14ac:dyDescent="0.25">
      <c r="A112" s="95">
        <f t="shared" si="7"/>
        <v>46274</v>
      </c>
      <c r="B112" s="89">
        <v>0.66666666666666663</v>
      </c>
      <c r="C112" s="67" t="str">
        <f ca="1">IFERROR(__xludf.DUMMYFUNCTION("IFERROR(IF(SUMPRODUCT(('Σύνοψη'!$F$2:$F289=$A112)*('Σύνοψη'!$C$2:$C289=C$3)*('Σύνοψη'!$G$2:$G289=$B112))&gt;0,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'Σύνοψη'!$C$2:$C289=C$3)), IF(SUMPRODUCT(('Σύνοψη'!$F$2:$F289=$A112)*('Σύνοψη'!$C$2:$C289=C$3)*('Σύνοψη'!$G$2:$G289&lt;$B112)*('Σύνοψη'!$H$2:$H289&gt;$B112))&gt;0, CHAR(34), """") ), """")"),"""")</f>
        <v>"</v>
      </c>
      <c r="D112" s="67" t="str">
        <f ca="1">IFERROR(__xludf.DUMMYFUNCTION("IFERROR(IF(SUMPRODUCT(('Σύνοψη'!$F$2:$F289=$A112)*('Σύνοψη'!$C$2:$C289=D$3)*('Σύνοψη'!$G$2:$G289=$B112))&gt;0,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'Σύνοψη'!$C$2:$C289=D$3)), IF(SUMPRODUCT(('Σύνοψη'!$F$2:$F289=$A112)*('Σύνοψη'!$C$2:$C289=D$3)*('Σύνοψη'!$G$2:$G289&lt;$B112)*('Σύνοψη'!$H$2:$H289&gt;$B112))&gt;0, CHAR(34), """") ), """")"),"")</f>
        <v/>
      </c>
      <c r="E112" s="67" t="str">
        <f ca="1">IFERROR(__xludf.DUMMYFUNCTION("IFERROR(IF(SUMPRODUCT(('Σύνοψη'!$F$2:$F289=$A112)*('Σύνοψη'!$C$2:$C289=E$3)*('Σύνοψη'!$G$2:$G289=$B112))&gt;0,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'Σύνοψη'!$C$2:$C289=E$3)), IF(SUMPRODUCT(('Σύνοψη'!$F$2:$F289=$A112)*('Σύνοψη'!$C$2:$C289=E$3)*('Σύνοψη'!$G$2:$G289&lt;$B112)*('Σύνοψη'!$H$2:$H289&gt;$B112))&gt;0, CHAR(34), """") ), """")"),"")</f>
        <v/>
      </c>
      <c r="F112" s="67" t="str">
        <f ca="1">IFERROR(__xludf.DUMMYFUNCTION("IFERROR(IF(SUMPRODUCT(('Σύνοψη'!$F$2:$F289=$A112)*('Σύνοψη'!$C$2:$C289=F$3)*('Σύνοψη'!$G$2:$G289=$B112))&gt;0,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'Σύνοψη'!$C$2:$C289=F$3)), IF(SUMPRODUCT(('Σύνοψη'!$F$2:$F289=$A112)*('Σύνοψη'!$C$2:$C289=F$3)*('Σύνοψη'!$G$2:$G289&lt;$B112)*('Σύνοψη'!$H$2:$H289&gt;$B112))&gt;0, CHAR(34), """") ), """")"),"")</f>
        <v/>
      </c>
      <c r="G112" s="67" t="str">
        <f ca="1">IFERROR(__xludf.DUMMYFUNCTION("IFERROR(IF(SUMPRODUCT(('Σύνοψη'!$F$2:$F289=$A112)*('Σύνοψη'!$C$2:$C289=G$3)*('Σύνοψη'!$G$2:$G289=$B112))&gt;0,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'Σύνοψη'!$C$2:$C289=G$3)), IF(SUMPRODUCT(('Σύνοψη'!$F$2:$F289=$A112)*('Σύνοψη'!$C$2:$C289=G$3)*('Σύνοψη'!$G$2:$G289&lt;$B112)*('Σύνοψη'!$H$2:$H289&gt;$B112))&gt;0, CHAR(34), """") ), """")"),"""")</f>
        <v>"</v>
      </c>
      <c r="H112" s="67" t="str">
        <f ca="1">IFERROR(__xludf.DUMMYFUNCTION("IFERROR(IF(SUMPRODUCT(('Σύνοψη'!$F$2:$F289=$A112)*('Σύνοψη'!$C$2:$C289=H$3)*('Σύνοψη'!$G$2:$G289=$B112))&gt;0, TEXTJOIN(CHAR(10) &amp; ""-----------------------"" &amp; CHAR(10), TRUE, FILTER('Σύνοψη'!$E$2:$E289 &amp; "" - "" &amp; 'Σύνοψη'!$I$2:$I289 &amp; "" ("" &amp; 'Σύνοψη'!$J"&amp;"$2:$J289 &amp; "")"", 'Σύνοψη'!$F$2:$F289=$A112, 'Σύνοψη'!$G$2:$G289=$B112, 'Σύνοψη'!$C$2:$C289=H$3)), IF(SUMPRODUCT(('Σύνοψη'!$F$2:$F289=$A112)*('Σύνοψη'!$C$2:$C289=H$3)*('Σύνοψη'!$G$2:$G289&lt;$B112)*('Σύνοψη'!$H$2:$H289&gt;$B112))&gt;0, CHAR(34), """") ), """")"),"""")</f>
        <v>"</v>
      </c>
      <c r="I112" s="3"/>
    </row>
    <row r="113" spans="1:9" s="100" customFormat="1" x14ac:dyDescent="0.25">
      <c r="A113" s="95">
        <f t="shared" si="7"/>
        <v>46274</v>
      </c>
      <c r="B113" s="89">
        <v>0.70833333333333337</v>
      </c>
      <c r="C113" s="67" t="str">
        <f ca="1">IFERROR(__xludf.DUMMYFUNCTION("IFERROR(IF(SUMPRODUCT(('Σύνοψη'!$F$2:$F289=$A113)*('Σύνοψη'!$C$2:$C289=C$3)*('Σύνοψη'!$G$2:$G289=$B113))&gt;0,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'Σύνοψη'!$C$2:$C289=C$3)), IF(SUMPRODUCT(('Σύνοψη'!$F$2:$F289=$A113)*('Σύνοψη'!$C$2:$C289=C$3)*('Σύνοψη'!$G$2:$G289&lt;$B113)*('Σύνοψη'!$H$2:$H289&gt;$B113))&gt;0, CHAR(34), """") ), """")"),"""")</f>
        <v>"</v>
      </c>
      <c r="D113" s="67" t="str">
        <f ca="1">IFERROR(__xludf.DUMMYFUNCTION("IFERROR(IF(SUMPRODUCT(('Σύνοψη'!$F$2:$F289=$A113)*('Σύνοψη'!$C$2:$C289=D$3)*('Σύνοψη'!$G$2:$G289=$B113))&gt;0,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'Σύνοψη'!$C$2:$C289=D$3)), IF(SUMPRODUCT(('Σύνοψη'!$F$2:$F289=$A113)*('Σύνοψη'!$C$2:$C289=D$3)*('Σύνοψη'!$G$2:$G289&lt;$B113)*('Σύνοψη'!$H$2:$H289&gt;$B113))&gt;0, CHAR(34), """") ), """")"),"")</f>
        <v/>
      </c>
      <c r="E113" s="67" t="str">
        <f ca="1">IFERROR(__xludf.DUMMYFUNCTION("IFERROR(IF(SUMPRODUCT(('Σύνοψη'!$F$2:$F289=$A113)*('Σύνοψη'!$C$2:$C289=E$3)*('Σύνοψη'!$G$2:$G289=$B113))&gt;0,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'Σύνοψη'!$C$2:$C289=E$3)), IF(SUMPRODUCT(('Σύνοψη'!$F$2:$F289=$A113)*('Σύνοψη'!$C$2:$C289=E$3)*('Σύνοψη'!$G$2:$G289&lt;$B113)*('Σύνοψη'!$H$2:$H289&gt;$B113))&gt;0, CHAR(34), """") ), """")"),"")</f>
        <v/>
      </c>
      <c r="F113" s="67" t="str">
        <f ca="1">IFERROR(__xludf.DUMMYFUNCTION("IFERROR(IF(SUMPRODUCT(('Σύνοψη'!$F$2:$F289=$A113)*('Σύνοψη'!$C$2:$C289=F$3)*('Σύνοψη'!$G$2:$G289=$B113))&gt;0,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'Σύνοψη'!$C$2:$C289=F$3)), IF(SUMPRODUCT(('Σύνοψη'!$F$2:$F289=$A113)*('Σύνοψη'!$C$2:$C289=F$3)*('Σύνοψη'!$G$2:$G289&lt;$B113)*('Σύνοψη'!$H$2:$H289&gt;$B113))&gt;0, CHAR(34), """") ), """")"),"")</f>
        <v/>
      </c>
      <c r="G113" s="67" t="str">
        <f ca="1">IFERROR(__xludf.DUMMYFUNCTION("IFERROR(IF(SUMPRODUCT(('Σύνοψη'!$F$2:$F289=$A113)*('Σύνοψη'!$C$2:$C289=G$3)*('Σύνοψη'!$G$2:$G289=$B113))&gt;0,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'Σύνοψη'!$C$2:$C289=G$3)), IF(SUMPRODUCT(('Σύνοψη'!$F$2:$F289=$A113)*('Σύνοψη'!$C$2:$C289=G$3)*('Σύνοψη'!$G$2:$G289&lt;$B113)*('Σύνοψη'!$H$2:$H289&gt;$B113))&gt;0, CHAR(34), """") ), """")"),"")</f>
        <v/>
      </c>
      <c r="H113" s="67" t="str">
        <f ca="1">IFERROR(__xludf.DUMMYFUNCTION("IFERROR(IF(SUMPRODUCT(('Σύνοψη'!$F$2:$F289=$A113)*('Σύνοψη'!$C$2:$C289=H$3)*('Σύνοψη'!$G$2:$G289=$B113))&gt;0, TEXTJOIN(CHAR(10) &amp; ""-----------------------"" &amp; CHAR(10), TRUE, FILTER('Σύνοψη'!$E$2:$E289 &amp; "" - "" &amp; 'Σύνοψη'!$I$2:$I289 &amp; "" ("" &amp; 'Σύνοψη'!$J"&amp;"$2:$J289 &amp; "")"", 'Σύνοψη'!$F$2:$F289=$A113, 'Σύνοψη'!$G$2:$G289=$B113, 'Σύνοψη'!$C$2:$C289=H$3)), IF(SUMPRODUCT(('Σύνοψη'!$F$2:$F289=$A113)*('Σύνοψη'!$C$2:$C289=H$3)*('Σύνοψη'!$G$2:$G289&lt;$B113)*('Σύνοψη'!$H$2:$H289&gt;$B113))&gt;0, CHAR(34), """") ), """")"),"""")</f>
        <v>"</v>
      </c>
      <c r="I113" s="3"/>
    </row>
    <row r="114" spans="1:9" s="100" customFormat="1" x14ac:dyDescent="0.25">
      <c r="A114" s="95">
        <f t="shared" si="7"/>
        <v>46274</v>
      </c>
      <c r="B114" s="89">
        <v>0.75</v>
      </c>
      <c r="C114" s="67" t="str">
        <f ca="1">IFERROR(__xludf.DUMMYFUNCTION("IFERROR(IF(SUMPRODUCT(('Σύνοψη'!$F$2:$F289=$A114)*('Σύνοψη'!$C$2:$C289=C$3)*('Σύνοψη'!$G$2:$G289=$B114))&gt;0,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'Σύνοψη'!$C$2:$C289=C$3)), IF(SUMPRODUCT(('Σύνοψη'!$F$2:$F289=$A114)*('Σύνοψη'!$C$2:$C289=C$3)*('Σύνοψη'!$G$2:$G289&lt;$B114)*('Σύνοψη'!$H$2:$H289&gt;$B114))&gt;0, CHAR(34), """") ), """")"),"")</f>
        <v/>
      </c>
      <c r="D114" s="67" t="str">
        <f ca="1">IFERROR(__xludf.DUMMYFUNCTION("IFERROR(IF(SUMPRODUCT(('Σύνοψη'!$F$2:$F289=$A114)*('Σύνοψη'!$C$2:$C289=D$3)*('Σύνοψη'!$G$2:$G289=$B114))&gt;0,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'Σύνοψη'!$C$2:$C289=D$3)), IF(SUMPRODUCT(('Σύνοψη'!$F$2:$F289=$A114)*('Σύνοψη'!$C$2:$C289=D$3)*('Σύνοψη'!$G$2:$G289&lt;$B114)*('Σύνοψη'!$H$2:$H289&gt;$B114))&gt;0, CHAR(34), """") ), """")"),"")</f>
        <v/>
      </c>
      <c r="E114" s="67" t="str">
        <f ca="1">IFERROR(__xludf.DUMMYFUNCTION("IFERROR(IF(SUMPRODUCT(('Σύνοψη'!$F$2:$F289=$A114)*('Σύνοψη'!$C$2:$C289=E$3)*('Σύνοψη'!$G$2:$G289=$B114))&gt;0,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'Σύνοψη'!$C$2:$C289=E$3)), IF(SUMPRODUCT(('Σύνοψη'!$F$2:$F289=$A114)*('Σύνοψη'!$C$2:$C289=E$3)*('Σύνοψη'!$G$2:$G289&lt;$B114)*('Σύνοψη'!$H$2:$H289&gt;$B114))&gt;0, CHAR(34), """") ), """")"),"")</f>
        <v/>
      </c>
      <c r="F114" s="67" t="str">
        <f ca="1">IFERROR(__xludf.DUMMYFUNCTION("IFERROR(IF(SUMPRODUCT(('Σύνοψη'!$F$2:$F289=$A114)*('Σύνοψη'!$C$2:$C289=F$3)*('Σύνοψη'!$G$2:$G289=$B114))&gt;0,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'Σύνοψη'!$C$2:$C289=F$3)), IF(SUMPRODUCT(('Σύνοψη'!$F$2:$F289=$A114)*('Σύνοψη'!$C$2:$C289=F$3)*('Σύνοψη'!$G$2:$G289&lt;$B114)*('Σύνοψη'!$H$2:$H289&gt;$B114))&gt;0, CHAR(34), """") ), """")"),"")</f>
        <v/>
      </c>
      <c r="G114" s="67" t="str">
        <f ca="1">IFERROR(__xludf.DUMMYFUNCTION("IFERROR(IF(SUMPRODUCT(('Σύνοψη'!$F$2:$F289=$A114)*('Σύνοψη'!$C$2:$C289=G$3)*('Σύνοψη'!$G$2:$G289=$B114))&gt;0,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'Σύνοψη'!$C$2:$C289=G$3)), IF(SUMPRODUCT(('Σύνοψη'!$F$2:$F289=$A114)*('Σύνοψη'!$C$2:$C289=G$3)*('Σύνοψη'!$G$2:$G289&lt;$B114)*('Σύνοψη'!$H$2:$H289&gt;$B114))&gt;0, CHAR(34), """") ), """")"),"")</f>
        <v/>
      </c>
      <c r="H114" s="67" t="str">
        <f ca="1">IFERROR(__xludf.DUMMYFUNCTION("IFERROR(IF(SUMPRODUCT(('Σύνοψη'!$F$2:$F289=$A114)*('Σύνοψη'!$C$2:$C289=H$3)*('Σύνοψη'!$G$2:$G289=$B114))&gt;0, TEXTJOIN(CHAR(10) &amp; ""-----------------------"" &amp; CHAR(10), TRUE, FILTER('Σύνοψη'!$E$2:$E289 &amp; "" - "" &amp; 'Σύνοψη'!$I$2:$I289 &amp; "" ("" &amp; 'Σύνοψη'!$J"&amp;"$2:$J289 &amp; "")"", 'Σύνοψη'!$F$2:$F289=$A114, 'Σύνοψη'!$G$2:$G289=$B114, 'Σύνοψη'!$C$2:$C289=H$3)), IF(SUMPRODUCT(('Σύνοψη'!$F$2:$F289=$A114)*('Σύνοψη'!$C$2:$C289=H$3)*('Σύνοψη'!$G$2:$G289&lt;$B114)*('Σύνοψη'!$H$2:$H289&gt;$B114))&gt;0, CHAR(34), """") ), """")"),"")</f>
        <v/>
      </c>
      <c r="I114" s="3"/>
    </row>
    <row r="115" spans="1:9" s="100" customFormat="1" x14ac:dyDescent="0.25">
      <c r="A115" s="95">
        <f t="shared" si="7"/>
        <v>46274</v>
      </c>
      <c r="B115" s="89">
        <v>0.79166666666666663</v>
      </c>
      <c r="C115" s="67" t="str">
        <f ca="1">IFERROR(__xludf.DUMMYFUNCTION("IFERROR(IF(SUMPRODUCT(('Σύνοψη'!$F$2:$F289=$A115)*('Σύνοψη'!$C$2:$C289=C$3)*('Σύνοψη'!$G$2:$G289=$B115))&gt;0,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'Σύνοψη'!$C$2:$C289=C$3)), IF(SUMPRODUCT(('Σύνοψη'!$F$2:$F289=$A115)*('Σύνοψη'!$C$2:$C289=C$3)*('Σύνοψη'!$G$2:$G289&lt;$B115)*('Σύνοψη'!$H$2:$H289&gt;$B115))&gt;0, CHAR(34), """") ), """")"),"")</f>
        <v/>
      </c>
      <c r="D115" s="67" t="str">
        <f ca="1">IFERROR(__xludf.DUMMYFUNCTION("IFERROR(IF(SUMPRODUCT(('Σύνοψη'!$F$2:$F289=$A115)*('Σύνοψη'!$C$2:$C289=D$3)*('Σύνοψη'!$G$2:$G289=$B115))&gt;0,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'Σύνοψη'!$C$2:$C289=D$3)), IF(SUMPRODUCT(('Σύνοψη'!$F$2:$F289=$A115)*('Σύνοψη'!$C$2:$C289=D$3)*('Σύνοψη'!$G$2:$G289&lt;$B115)*('Σύνοψη'!$H$2:$H289&gt;$B115))&gt;0, CHAR(34), """") ), """")"),"")</f>
        <v/>
      </c>
      <c r="E115" s="67" t="str">
        <f ca="1">IFERROR(__xludf.DUMMYFUNCTION("IFERROR(IF(SUMPRODUCT(('Σύνοψη'!$F$2:$F289=$A115)*('Σύνοψη'!$C$2:$C289=E$3)*('Σύνοψη'!$G$2:$G289=$B115))&gt;0,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'Σύνοψη'!$C$2:$C289=E$3)), IF(SUMPRODUCT(('Σύνοψη'!$F$2:$F289=$A115)*('Σύνοψη'!$C$2:$C289=E$3)*('Σύνοψη'!$G$2:$G289&lt;$B115)*('Σύνοψη'!$H$2:$H289&gt;$B115))&gt;0, CHAR(34), """") ), """")"),"")</f>
        <v/>
      </c>
      <c r="F115" s="67" t="str">
        <f ca="1">IFERROR(__xludf.DUMMYFUNCTION("IFERROR(IF(SUMPRODUCT(('Σύνοψη'!$F$2:$F289=$A115)*('Σύνοψη'!$C$2:$C289=F$3)*('Σύνοψη'!$G$2:$G289=$B115))&gt;0,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'Σύνοψη'!$C$2:$C289=F$3)), IF(SUMPRODUCT(('Σύνοψη'!$F$2:$F289=$A115)*('Σύνοψη'!$C$2:$C289=F$3)*('Σύνοψη'!$G$2:$G289&lt;$B115)*('Σύνοψη'!$H$2:$H289&gt;$B115))&gt;0, CHAR(34), """") ), """")"),"")</f>
        <v/>
      </c>
      <c r="G115" s="67" t="str">
        <f ca="1">IFERROR(__xludf.DUMMYFUNCTION("IFERROR(IF(SUMPRODUCT(('Σύνοψη'!$F$2:$F289=$A115)*('Σύνοψη'!$C$2:$C289=G$3)*('Σύνοψη'!$G$2:$G289=$B115))&gt;0,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'Σύνοψη'!$C$2:$C289=G$3)), IF(SUMPRODUCT(('Σύνοψη'!$F$2:$F289=$A115)*('Σύνοψη'!$C$2:$C289=G$3)*('Σύνοψη'!$G$2:$G289&lt;$B115)*('Σύνοψη'!$H$2:$H289&gt;$B115))&gt;0, CHAR(34), """") ), """")"),"")</f>
        <v/>
      </c>
      <c r="H115" s="67" t="str">
        <f ca="1">IFERROR(__xludf.DUMMYFUNCTION("IFERROR(IF(SUMPRODUCT(('Σύνοψη'!$F$2:$F289=$A115)*('Σύνοψη'!$C$2:$C289=H$3)*('Σύνοψη'!$G$2:$G289=$B115))&gt;0, TEXTJOIN(CHAR(10) &amp; ""-----------------------"" &amp; CHAR(10), TRUE, FILTER('Σύνοψη'!$E$2:$E289 &amp; "" - "" &amp; 'Σύνοψη'!$I$2:$I289 &amp; "" ("" &amp; 'Σύνοψη'!$J"&amp;"$2:$J289 &amp; "")"", 'Σύνοψη'!$F$2:$F289=$A115, 'Σύνοψη'!$G$2:$G289=$B115, 'Σύνοψη'!$C$2:$C289=H$3)), IF(SUMPRODUCT(('Σύνοψη'!$F$2:$F289=$A115)*('Σύνοψη'!$C$2:$C289=H$3)*('Σύνοψη'!$G$2:$G289&lt;$B115)*('Σύνοψη'!$H$2:$H289&gt;$B115))&gt;0, CHAR(34), """") ), """")"),"")</f>
        <v/>
      </c>
      <c r="I115" s="3"/>
    </row>
    <row r="116" spans="1:9" s="100" customFormat="1" x14ac:dyDescent="0.25">
      <c r="A116" s="95">
        <f t="shared" si="7"/>
        <v>46274</v>
      </c>
      <c r="B116" s="89">
        <v>0.83333333333333337</v>
      </c>
      <c r="C116" s="67" t="str">
        <f ca="1">IFERROR(__xludf.DUMMYFUNCTION("IFERROR(IF(SUMPRODUCT(('Σύνοψη'!$F$2:$F289=$A116)*('Σύνοψη'!$C$2:$C289=C$3)*('Σύνοψη'!$G$2:$G289=$B116))&gt;0,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'Σύνοψη'!$C$2:$C289=C$3)), IF(SUMPRODUCT(('Σύνοψη'!$F$2:$F289=$A116)*('Σύνοψη'!$C$2:$C289=C$3)*('Σύνοψη'!$G$2:$G289&lt;$B116)*('Σύνοψη'!$H$2:$H289&gt;$B116))&gt;0, CHAR(34), """") ), """")"),"")</f>
        <v/>
      </c>
      <c r="D116" s="67" t="str">
        <f ca="1">IFERROR(__xludf.DUMMYFUNCTION("IFERROR(IF(SUMPRODUCT(('Σύνοψη'!$F$2:$F289=$A116)*('Σύνοψη'!$C$2:$C289=D$3)*('Σύνοψη'!$G$2:$G289=$B116))&gt;0,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'Σύνοψη'!$C$2:$C289=D$3)), IF(SUMPRODUCT(('Σύνοψη'!$F$2:$F289=$A116)*('Σύνοψη'!$C$2:$C289=D$3)*('Σύνοψη'!$G$2:$G289&lt;$B116)*('Σύνοψη'!$H$2:$H289&gt;$B116))&gt;0, CHAR(34), """") ), """")"),"")</f>
        <v/>
      </c>
      <c r="E116" s="67" t="str">
        <f ca="1">IFERROR(__xludf.DUMMYFUNCTION("IFERROR(IF(SUMPRODUCT(('Σύνοψη'!$F$2:$F289=$A116)*('Σύνοψη'!$C$2:$C289=E$3)*('Σύνοψη'!$G$2:$G289=$B116))&gt;0,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'Σύνοψη'!$C$2:$C289=E$3)), IF(SUMPRODUCT(('Σύνοψη'!$F$2:$F289=$A116)*('Σύνοψη'!$C$2:$C289=E$3)*('Σύνοψη'!$G$2:$G289&lt;$B116)*('Σύνοψη'!$H$2:$H289&gt;$B116))&gt;0, CHAR(34), """") ), """")"),"")</f>
        <v/>
      </c>
      <c r="F116" s="67" t="str">
        <f ca="1">IFERROR(__xludf.DUMMYFUNCTION("IFERROR(IF(SUMPRODUCT(('Σύνοψη'!$F$2:$F289=$A116)*('Σύνοψη'!$C$2:$C289=F$3)*('Σύνοψη'!$G$2:$G289=$B116))&gt;0,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'Σύνοψη'!$C$2:$C289=F$3)), IF(SUMPRODUCT(('Σύνοψη'!$F$2:$F289=$A116)*('Σύνοψη'!$C$2:$C289=F$3)*('Σύνοψη'!$G$2:$G289&lt;$B116)*('Σύνοψη'!$H$2:$H289&gt;$B116))&gt;0, CHAR(34), """") ), """")"),"")</f>
        <v/>
      </c>
      <c r="G116" s="67" t="str">
        <f ca="1">IFERROR(__xludf.DUMMYFUNCTION("IFERROR(IF(SUMPRODUCT(('Σύνοψη'!$F$2:$F289=$A116)*('Σύνοψη'!$C$2:$C289=G$3)*('Σύνοψη'!$G$2:$G289=$B116))&gt;0,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'Σύνοψη'!$C$2:$C289=G$3)), IF(SUMPRODUCT(('Σύνοψη'!$F$2:$F289=$A116)*('Σύνοψη'!$C$2:$C289=G$3)*('Σύνοψη'!$G$2:$G289&lt;$B116)*('Σύνοψη'!$H$2:$H289&gt;$B116))&gt;0, CHAR(34), """") ), """")"),"")</f>
        <v/>
      </c>
      <c r="H116" s="67" t="str">
        <f ca="1">IFERROR(__xludf.DUMMYFUNCTION("IFERROR(IF(SUMPRODUCT(('Σύνοψη'!$F$2:$F289=$A116)*('Σύνοψη'!$C$2:$C289=H$3)*('Σύνοψη'!$G$2:$G289=$B116))&gt;0, TEXTJOIN(CHAR(10) &amp; ""-----------------------"" &amp; CHAR(10), TRUE, FILTER('Σύνοψη'!$E$2:$E289 &amp; "" - "" &amp; 'Σύνοψη'!$I$2:$I289 &amp; "" ("" &amp; 'Σύνοψη'!$J"&amp;"$2:$J289 &amp; "")"", 'Σύνοψη'!$F$2:$F289=$A116, 'Σύνοψη'!$G$2:$G289=$B116, 'Σύνοψη'!$C$2:$C289=H$3)), IF(SUMPRODUCT(('Σύνοψη'!$F$2:$F289=$A116)*('Σύνοψη'!$C$2:$C289=H$3)*('Σύνοψη'!$G$2:$G289&lt;$B116)*('Σύνοψη'!$H$2:$H289&gt;$B116))&gt;0, CHAR(34), """") ), """")"),"")</f>
        <v/>
      </c>
      <c r="I116" s="3"/>
    </row>
    <row r="117" spans="1:9" s="100" customFormat="1" x14ac:dyDescent="0.25">
      <c r="A117" s="95">
        <f t="shared" si="7"/>
        <v>46274</v>
      </c>
      <c r="B117" s="89">
        <v>0.875</v>
      </c>
      <c r="C117" s="67" t="str">
        <f ca="1">IFERROR(__xludf.DUMMYFUNCTION("IFERROR(IF(SUMPRODUCT(('Σύνοψη'!$F$2:$F289=$A117)*('Σύνοψη'!$C$2:$C289=C$3)*('Σύνοψη'!$G$2:$G289=$B117))&gt;0,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'Σύνοψη'!$C$2:$C289=C$3)), IF(SUMPRODUCT(('Σύνοψη'!$F$2:$F289=$A117)*('Σύνοψη'!$C$2:$C289=C$3)*('Σύνοψη'!$G$2:$G289&lt;$B117)*('Σύνοψη'!$H$2:$H289&gt;$B117))&gt;0, CHAR(34), """") ), """")"),"")</f>
        <v/>
      </c>
      <c r="D117" s="67" t="str">
        <f ca="1">IFERROR(__xludf.DUMMYFUNCTION("IFERROR(IF(SUMPRODUCT(('Σύνοψη'!$F$2:$F289=$A117)*('Σύνοψη'!$C$2:$C289=D$3)*('Σύνοψη'!$G$2:$G289=$B117))&gt;0,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'Σύνοψη'!$C$2:$C289=D$3)), IF(SUMPRODUCT(('Σύνοψη'!$F$2:$F289=$A117)*('Σύνοψη'!$C$2:$C289=D$3)*('Σύνοψη'!$G$2:$G289&lt;$B117)*('Σύνοψη'!$H$2:$H289&gt;$B117))&gt;0, CHAR(34), """") ), """")"),"")</f>
        <v/>
      </c>
      <c r="E117" s="67" t="str">
        <f ca="1">IFERROR(__xludf.DUMMYFUNCTION("IFERROR(IF(SUMPRODUCT(('Σύνοψη'!$F$2:$F289=$A117)*('Σύνοψη'!$C$2:$C289=E$3)*('Σύνοψη'!$G$2:$G289=$B117))&gt;0,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'Σύνοψη'!$C$2:$C289=E$3)), IF(SUMPRODUCT(('Σύνοψη'!$F$2:$F289=$A117)*('Σύνοψη'!$C$2:$C289=E$3)*('Σύνοψη'!$G$2:$G289&lt;$B117)*('Σύνοψη'!$H$2:$H289&gt;$B117))&gt;0, CHAR(34), """") ), """")"),"")</f>
        <v/>
      </c>
      <c r="F117" s="67" t="str">
        <f ca="1">IFERROR(__xludf.DUMMYFUNCTION("IFERROR(IF(SUMPRODUCT(('Σύνοψη'!$F$2:$F289=$A117)*('Σύνοψη'!$C$2:$C289=F$3)*('Σύνοψη'!$G$2:$G289=$B117))&gt;0,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'Σύνοψη'!$C$2:$C289=F$3)), IF(SUMPRODUCT(('Σύνοψη'!$F$2:$F289=$A117)*('Σύνοψη'!$C$2:$C289=F$3)*('Σύνοψη'!$G$2:$G289&lt;$B117)*('Σύνοψη'!$H$2:$H289&gt;$B117))&gt;0, CHAR(34), """") ), """")"),"")</f>
        <v/>
      </c>
      <c r="G117" s="67" t="str">
        <f ca="1">IFERROR(__xludf.DUMMYFUNCTION("IFERROR(IF(SUMPRODUCT(('Σύνοψη'!$F$2:$F289=$A117)*('Σύνοψη'!$C$2:$C289=G$3)*('Σύνοψη'!$G$2:$G289=$B117))&gt;0,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'Σύνοψη'!$C$2:$C289=G$3)), IF(SUMPRODUCT(('Σύνοψη'!$F$2:$F289=$A117)*('Σύνοψη'!$C$2:$C289=G$3)*('Σύνοψη'!$G$2:$G289&lt;$B117)*('Σύνοψη'!$H$2:$H289&gt;$B117))&gt;0, CHAR(34), """") ), """")"),"")</f>
        <v/>
      </c>
      <c r="H117" s="67" t="str">
        <f ca="1">IFERROR(__xludf.DUMMYFUNCTION("IFERROR(IF(SUMPRODUCT(('Σύνοψη'!$F$2:$F289=$A117)*('Σύνοψη'!$C$2:$C289=H$3)*('Σύνοψη'!$G$2:$G289=$B117))&gt;0, TEXTJOIN(CHAR(10) &amp; ""-----------------------"" &amp; CHAR(10), TRUE, FILTER('Σύνοψη'!$E$2:$E289 &amp; "" - "" &amp; 'Σύνοψη'!$I$2:$I289 &amp; "" ("" &amp; 'Σύνοψη'!$J"&amp;"$2:$J289 &amp; "")"", 'Σύνοψη'!$F$2:$F289=$A117, 'Σύνοψη'!$G$2:$G289=$B117, 'Σύνοψη'!$C$2:$C289=H$3)), IF(SUMPRODUCT(('Σύνοψη'!$F$2:$F289=$A117)*('Σύνοψη'!$C$2:$C289=H$3)*('Σύνοψη'!$G$2:$G289&lt;$B117)*('Σύνοψη'!$H$2:$H289&gt;$B117))&gt;0, CHAR(34), """") ), """")"),"")</f>
        <v/>
      </c>
      <c r="I117" s="3"/>
    </row>
    <row r="118" spans="1:9" s="100" customFormat="1" x14ac:dyDescent="0.25">
      <c r="A118" s="93">
        <f>$D$1+10</f>
        <v>46275</v>
      </c>
      <c r="B118" s="94">
        <v>0.33333333333333331</v>
      </c>
      <c r="C118" s="66" t="str">
        <f ca="1">IFERROR(__xludf.DUMMYFUNCTION("IFERROR(IF(SUMPRODUCT(('Σύνοψη'!$F$2:$F289=$A118)*('Σύνοψη'!$C$2:$C289=C$3)*('Σύνοψη'!$G$2:$G289=$B118))&gt;0,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'Σύνοψη'!$C$2:$C289=C$3)), IF(SUMPRODUCT(('Σύνοψη'!$F$2:$F289=$A118)*('Σύνοψη'!$C$2:$C289=C$3)*('Σύνοψη'!$G$2:$G289&lt;$B118)*('Σύνοψη'!$H$2:$H289&gt;$B118))&gt;0, CHAR(34), """") ), """")"),"")</f>
        <v/>
      </c>
      <c r="D118" s="66" t="str">
        <f ca="1">IFERROR(__xludf.DUMMYFUNCTION("IFERROR(IF(SUMPRODUCT(('Σύνοψη'!$F$2:$F289=$A118)*('Σύνοψη'!$C$2:$C289=D$3)*('Σύνοψη'!$G$2:$G289=$B118))&gt;0,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'Σύνοψη'!$C$2:$C289=D$3)), IF(SUMPRODUCT(('Σύνοψη'!$F$2:$F289=$A118)*('Σύνοψη'!$C$2:$C289=D$3)*('Σύνοψη'!$G$2:$G289&lt;$B118)*('Σύνοψη'!$H$2:$H289&gt;$B118))&gt;0, CHAR(34), """") ), """")"),"")</f>
        <v/>
      </c>
      <c r="E118" s="66" t="str">
        <f ca="1">IFERROR(__xludf.DUMMYFUNCTION("IFERROR(IF(SUMPRODUCT(('Σύνοψη'!$F$2:$F289=$A118)*('Σύνοψη'!$C$2:$C289=E$3)*('Σύνοψη'!$G$2:$G289=$B118))&gt;0,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'Σύνοψη'!$C$2:$C289=E$3)), IF(SUMPRODUCT(('Σύνοψη'!$F$2:$F289=$A118)*('Σύνοψη'!$C$2:$C289=E$3)*('Σύνοψη'!$G$2:$G289&lt;$B118)*('Σύνοψη'!$H$2:$H289&gt;$B118))&gt;0, CHAR(34), """") ), """")"),"")</f>
        <v/>
      </c>
      <c r="F118" s="66" t="str">
        <f ca="1">IFERROR(__xludf.DUMMYFUNCTION("IFERROR(IF(SUMPRODUCT(('Σύνοψη'!$F$2:$F289=$A118)*('Σύνοψη'!$C$2:$C289=F$3)*('Σύνοψη'!$G$2:$G289=$B118))&gt;0,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'Σύνοψη'!$C$2:$C289=F$3)), IF(SUMPRODUCT(('Σύνοψη'!$F$2:$F289=$A118)*('Σύνοψη'!$C$2:$C289=F$3)*('Σύνοψη'!$G$2:$G289&lt;$B118)*('Σύνοψη'!$H$2:$H289&gt;$B118))&gt;0, CHAR(34), """") ), """")"),"")</f>
        <v/>
      </c>
      <c r="G118" s="66" t="str">
        <f ca="1">IFERROR(__xludf.DUMMYFUNCTION("IFERROR(IF(SUMPRODUCT(('Σύνοψη'!$F$2:$F289=$A118)*('Σύνοψη'!$C$2:$C289=G$3)*('Σύνοψη'!$G$2:$G289=$B118))&gt;0,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'Σύνοψη'!$C$2:$C289=G$3)), IF(SUMPRODUCT(('Σύνοψη'!$F$2:$F289=$A118)*('Σύνοψη'!$C$2:$C289=G$3)*('Σύνοψη'!$G$2:$G289&lt;$B118)*('Σύνοψη'!$H$2:$H289&gt;$B118))&gt;0, CHAR(34), """") ), """")"),"")</f>
        <v/>
      </c>
      <c r="H118" s="66" t="str">
        <f ca="1">IFERROR(__xludf.DUMMYFUNCTION("IFERROR(IF(SUMPRODUCT(('Σύνοψη'!$F$2:$F289=$A118)*('Σύνοψη'!$C$2:$C289=H$3)*('Σύνοψη'!$G$2:$G289=$B118))&gt;0, TEXTJOIN(CHAR(10) &amp; ""-----------------------"" &amp; CHAR(10), TRUE, FILTER('Σύνοψη'!$E$2:$E289 &amp; "" - "" &amp; 'Σύνοψη'!$I$2:$I289 &amp; "" ("" &amp; 'Σύνοψη'!$J"&amp;"$2:$J289 &amp; "")"", 'Σύνοψη'!$F$2:$F289=$A118, 'Σύνοψη'!$G$2:$G289=$B118, 'Σύνοψη'!$C$2:$C289=H$3)), IF(SUMPRODUCT(('Σύνοψη'!$F$2:$F289=$A118)*('Σύνοψη'!$C$2:$C289=H$3)*('Σύνοψη'!$G$2:$G289&lt;$B118)*('Σύνοψη'!$H$2:$H289&gt;$B118))&gt;0, CHAR(34), """") ), """")"),"")</f>
        <v/>
      </c>
      <c r="I118" s="3"/>
    </row>
    <row r="119" spans="1:9" s="100" customFormat="1" ht="75" x14ac:dyDescent="0.25">
      <c r="A119" s="95">
        <f t="shared" ref="A119:A131" si="8">$A$118</f>
        <v>46275</v>
      </c>
      <c r="B119" s="89">
        <v>0.375</v>
      </c>
      <c r="C119" s="67" t="str">
        <f ca="1">IFERROR(__xludf.DUMMYFUNCTION("IFERROR(IF(SUMPRODUCT(('Σύνοψη'!$F$2:$F289=$A119)*('Σύνοψη'!$C$2:$C289=C$3)*('Σύνοψη'!$G$2:$G289=$B119))&gt;0,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'Σύνοψη'!$C$2:$C289=C$3)), IF(SUMPRODUCT(('Σύνοψη'!$F$2:$F289=$A119)*('Σύνοψη'!$C$2:$C289=C$3)*('Σύνοψη'!$G$2:$G289&lt;$B119)*('Σύνοψη'!$H$2:$H289&gt;$B119))&gt;0, CHAR(34), """") ), """")"),"")</f>
        <v/>
      </c>
      <c r="D119" s="67" t="str">
        <f ca="1">IFERROR(__xludf.DUMMYFUNCTION("IFERROR(IF(SUMPRODUCT(('Σύνοψη'!$F$2:$F289=$A119)*('Σύνοψη'!$C$2:$C289=D$3)*('Σύνοψη'!$G$2:$G289=$B119))&gt;0,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'Σύνοψη'!$C$2:$C289=D$3)), IF(SUMPRODUCT(('Σύνοψη'!$F$2:$F289=$A119)*('Σύνοψη'!$C$2:$C289=D$3)*('Σύνοψη'!$G$2:$G289&lt;$B119)*('Σύνοψη'!$H$2:$H289&gt;$B119))&gt;0, CHAR(34), """") ), """")"),"")</f>
        <v/>
      </c>
      <c r="E119" s="67" t="str">
        <f ca="1">IFERROR(__xludf.DUMMYFUNCTION("IFERROR(IF(SUMPRODUCT(('Σύνοψη'!$F$2:$F289=$A119)*('Σύνοψη'!$C$2:$C289=E$3)*('Σύνοψη'!$G$2:$G289=$B119))&gt;0,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'Σύνοψη'!$C$2:$C289=E$3)), IF(SUMPRODUCT(('Σύνοψη'!$F$2:$F289=$A119)*('Σύνοψη'!$C$2:$C289=E$3)*('Σύνοψη'!$G$2:$G289&lt;$B119)*('Σύνοψη'!$H$2:$H289&gt;$B119))&gt;0, CHAR(34), """") ), """")"),"")</f>
        <v/>
      </c>
      <c r="F119" s="67" t="str">
        <f ca="1">IFERROR(__xludf.DUMMYFUNCTION("IFERROR(IF(SUMPRODUCT(('Σύνοψη'!$F$2:$F289=$A119)*('Σύνοψη'!$C$2:$C289=F$3)*('Σύνοψη'!$G$2:$G289=$B119))&gt;0,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'Σύνοψη'!$C$2:$C289=F$3)), IF(SUMPRODUCT(('Σύνοψη'!$F$2:$F289=$A119)*('Σύνοψη'!$C$2:$C289=F$3)*('Σύνοψη'!$G$2:$G289&lt;$B119)*('Σύνοψη'!$H$2:$H289&gt;$B119))&gt;0, CHAR(34), """") ), """")"),"")</f>
        <v/>
      </c>
      <c r="G119" s="67" t="str">
        <f ca="1">IFERROR(__xludf.DUMMYFUNCTION("IFERROR(IF(SUMPRODUCT(('Σύνοψη'!$F$2:$F289=$A119)*('Σύνοψη'!$C$2:$C289=G$3)*('Σύνοψη'!$G$2:$G289=$B119))&gt;0,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'Σύνοψη'!$C$2:$C289=G$3)), IF(SUMPRODUCT(('Σύνοψη'!$F$2:$F289=$A119)*('Σύνοψη'!$C$2:$C289=G$3)*('Σύνοψη'!$G$2:$G289&lt;$B119)*('Σύνοψη'!$H$2:$H289&gt;$B119))&gt;0, CHAR(34), """") ), """")"),"Πρακτική Άσκηση στην Αναισθησιολογία, τη Χειρουργική &amp; την Απεικονιστική Διαγνωστική ΙΙ (Γραπτά) - 09:00 - 11:00 (Νέες Αίθουσες)")</f>
        <v>Πρακτική Άσκηση στην Αναισθησιολογία, τη Χειρουργική &amp; την Απεικονιστική Διαγνωστική ΙΙ (Γραπτά) - 09:00 - 11:00 (Νέες Αίθουσες)</v>
      </c>
      <c r="H119" s="67" t="str">
        <f ca="1">IFERROR(__xludf.DUMMYFUNCTION("IFERROR(IF(SUMPRODUCT(('Σύνοψη'!$F$2:$F289=$A119)*('Σύνοψη'!$C$2:$C289=H$3)*('Σύνοψη'!$G$2:$G289=$B119))&gt;0, TEXTJOIN(CHAR(10) &amp; ""-----------------------"" &amp; CHAR(10), TRUE, FILTER('Σύνοψη'!$E$2:$E289 &amp; "" - "" &amp; 'Σύνοψη'!$I$2:$I289 &amp; "" ("" &amp; 'Σύνοψη'!$J"&amp;"$2:$J289 &amp; "")"", 'Σύνοψη'!$F$2:$F289=$A119, 'Σύνοψη'!$G$2:$G289=$B119, 'Σύνοψη'!$C$2:$C289=H$3)), IF(SUMPRODUCT(('Σύνοψη'!$F$2:$F289=$A119)*('Σύνοψη'!$C$2:$C289=H$3)*('Σύνοψη'!$G$2:$G289&lt;$B119)*('Σύνοψη'!$H$2:$H289&gt;$B119))&gt;0, CHAR(34), """") ), """")"),"")</f>
        <v/>
      </c>
      <c r="I119" s="3"/>
    </row>
    <row r="120" spans="1:9" s="100" customFormat="1" x14ac:dyDescent="0.25">
      <c r="A120" s="95">
        <f t="shared" si="8"/>
        <v>46275</v>
      </c>
      <c r="B120" s="89">
        <v>0.41666666666666669</v>
      </c>
      <c r="C120" s="67" t="str">
        <f ca="1">IFERROR(__xludf.DUMMYFUNCTION("IFERROR(IF(SUMPRODUCT(('Σύνοψη'!$F$2:$F289=$A120)*('Σύνοψη'!$C$2:$C289=C$3)*('Σύνοψη'!$G$2:$G289=$B120))&gt;0,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'Σύνοψη'!$C$2:$C289=C$3)), IF(SUMPRODUCT(('Σύνοψη'!$F$2:$F289=$A120)*('Σύνοψη'!$C$2:$C289=C$3)*('Σύνοψη'!$G$2:$G289&lt;$B120)*('Σύνοψη'!$H$2:$H289&gt;$B120))&gt;0, CHAR(34), """") ), """")"),"")</f>
        <v/>
      </c>
      <c r="D120" s="67" t="str">
        <f ca="1">IFERROR(__xludf.DUMMYFUNCTION("IFERROR(IF(SUMPRODUCT(('Σύνοψη'!$F$2:$F289=$A120)*('Σύνοψη'!$C$2:$C289=D$3)*('Σύνοψη'!$G$2:$G289=$B120))&gt;0,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'Σύνοψη'!$C$2:$C289=D$3)), IF(SUMPRODUCT(('Σύνοψη'!$F$2:$F289=$A120)*('Σύνοψη'!$C$2:$C289=D$3)*('Σύνοψη'!$G$2:$G289&lt;$B120)*('Σύνοψη'!$H$2:$H289&gt;$B120))&gt;0, CHAR(34), """") ), """")"),"")</f>
        <v/>
      </c>
      <c r="E120" s="67" t="str">
        <f ca="1">IFERROR(__xludf.DUMMYFUNCTION("IFERROR(IF(SUMPRODUCT(('Σύνοψη'!$F$2:$F289=$A120)*('Σύνοψη'!$C$2:$C289=E$3)*('Σύνοψη'!$G$2:$G289=$B120))&gt;0,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'Σύνοψη'!$C$2:$C289=E$3)), IF(SUMPRODUCT(('Σύνοψη'!$F$2:$F289=$A120)*('Σύνοψη'!$C$2:$C289=E$3)*('Σύνοψη'!$G$2:$G289&lt;$B120)*('Σύνοψη'!$H$2:$H289&gt;$B120))&gt;0, CHAR(34), """") ), """")"),"")</f>
        <v/>
      </c>
      <c r="F120" s="67" t="str">
        <f ca="1">IFERROR(__xludf.DUMMYFUNCTION("IFERROR(IF(SUMPRODUCT(('Σύνοψη'!$F$2:$F289=$A120)*('Σύνοψη'!$C$2:$C289=F$3)*('Σύνοψη'!$G$2:$G289=$B120))&gt;0,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'Σύνοψη'!$C$2:$C289=F$3)), IF(SUMPRODUCT(('Σύνοψη'!$F$2:$F289=$A120)*('Σύνοψη'!$C$2:$C289=F$3)*('Σύνοψη'!$G$2:$G289&lt;$B120)*('Σύνοψη'!$H$2:$H289&gt;$B120))&gt;0, CHAR(34), """") ), """")"),"")</f>
        <v/>
      </c>
      <c r="G120" s="67" t="str">
        <f ca="1">IFERROR(__xludf.DUMMYFUNCTION("IFERROR(IF(SUMPRODUCT(('Σύνοψη'!$F$2:$F289=$A120)*('Σύνοψη'!$C$2:$C289=G$3)*('Σύνοψη'!$G$2:$G289=$B120))&gt;0,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'Σύνοψη'!$C$2:$C289=G$3)), IF(SUMPRODUCT(('Σύνοψη'!$F$2:$F289=$A120)*('Σύνοψη'!$C$2:$C289=G$3)*('Σύνοψη'!$G$2:$G289&lt;$B120)*('Σύνοψη'!$H$2:$H289&gt;$B120))&gt;0, CHAR(34), """") ), """")"),"""")</f>
        <v>"</v>
      </c>
      <c r="H120" s="67" t="str">
        <f ca="1">IFERROR(__xludf.DUMMYFUNCTION("IFERROR(IF(SUMPRODUCT(('Σύνοψη'!$F$2:$F289=$A120)*('Σύνοψη'!$C$2:$C289=H$3)*('Σύνοψη'!$G$2:$G289=$B120))&gt;0, TEXTJOIN(CHAR(10) &amp; ""-----------------------"" &amp; CHAR(10), TRUE, FILTER('Σύνοψη'!$E$2:$E289 &amp; "" - "" &amp; 'Σύνοψη'!$I$2:$I289 &amp; "" ("" &amp; 'Σύνοψη'!$J"&amp;"$2:$J289 &amp; "")"", 'Σύνοψη'!$F$2:$F289=$A120, 'Σύνοψη'!$G$2:$G289=$B120, 'Σύνοψη'!$C$2:$C289=H$3)), IF(SUMPRODUCT(('Σύνοψη'!$F$2:$F289=$A120)*('Σύνοψη'!$C$2:$C289=H$3)*('Σύνοψη'!$G$2:$G289&lt;$B120)*('Σύνοψη'!$H$2:$H289&gt;$B120))&gt;0, CHAR(34), """") ), """")"),"")</f>
        <v/>
      </c>
      <c r="I120" s="3"/>
    </row>
    <row r="121" spans="1:9" s="100" customFormat="1" ht="165" x14ac:dyDescent="0.25">
      <c r="A121" s="95">
        <f t="shared" si="8"/>
        <v>46275</v>
      </c>
      <c r="B121" s="89">
        <v>0.45833333333333331</v>
      </c>
      <c r="C121" s="67" t="str">
        <f ca="1">IFERROR(__xludf.DUMMYFUNCTION("IFERROR(IF(SUMPRODUCT(('Σύνοψη'!$F$2:$F289=$A121)*('Σύνοψη'!$C$2:$C289=C$3)*('Σύνοψη'!$G$2:$G289=$B121))&gt;0,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'Σύνοψη'!$C$2:$C289=C$3)), IF(SUMPRODUCT(('Σύνοψη'!$F$2:$F289=$A121)*('Σύνοψη'!$C$2:$C289=C$3)*('Σύνοψη'!$G$2:$G289&lt;$B121)*('Σύνοψη'!$H$2:$H289&gt;$B121))&gt;0, CHAR(34), """") ), """")"),"")</f>
        <v/>
      </c>
      <c r="D121" s="67" t="str">
        <f ca="1">IFERROR(__xludf.DUMMYFUNCTION("IFERROR(IF(SUMPRODUCT(('Σύνοψη'!$F$2:$F289=$A121)*('Σύνοψη'!$C$2:$C289=D$3)*('Σύνοψη'!$G$2:$G289=$B121))&gt;0,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'Σύνοψη'!$C$2:$C289=D$3)), IF(SUMPRODUCT(('Σύνοψη'!$F$2:$F289=$A121)*('Σύνοψη'!$C$2:$C289=D$3)*('Σύνοψη'!$G$2:$G289&lt;$B121)*('Σύνοψη'!$H$2:$H289&gt;$B121))&gt;0, CHAR(34), """") ), """")"),"")</f>
        <v/>
      </c>
      <c r="E121" s="67" t="str">
        <f ca="1">IFERROR(__xludf.DUMMYFUNCTION("IFERROR(IF(SUMPRODUCT(('Σύνοψη'!$F$2:$F289=$A121)*('Σύνοψη'!$C$2:$C289=E$3)*('Σύνοψη'!$G$2:$G289=$B121))&gt;0,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'Σύνοψη'!$C$2:$C289=E$3)), IF(SUMPRODUCT(('Σύνοψη'!$F$2:$F289=$A121)*('Σύνοψη'!$C$2:$C289=E$3)*('Σύνοψη'!$G$2:$G289&lt;$B121)*('Σύνοψη'!$H$2:$H289&gt;$B121))&gt;0, CHAR(34), """") ), """")"),"")</f>
        <v/>
      </c>
      <c r="F121" s="67" t="str">
        <f ca="1">IFERROR(__xludf.DUMMYFUNCTION("IFERROR(IF(SUMPRODUCT(('Σύνοψη'!$F$2:$F289=$A121)*('Σύνοψη'!$C$2:$C289=F$3)*('Σύνοψη'!$G$2:$G289=$B121))&gt;0,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'Σύνοψη'!$C$2:$C289=F$3)), IF(SUMPRODUCT(('Σύνοψη'!$F$2:$F289=$A121)*('Σύνοψη'!$C$2:$C289=F$3)*('Σύνοψη'!$G$2:$G289&lt;$B121)*('Σύνοψη'!$H$2:$H289&gt;$B121))&gt;0, CHAR(34), """") ), """")"),"")</f>
        <v/>
      </c>
      <c r="G121" s="67" t="str">
        <f ca="1">IFERROR(__xludf.DUMMYFUNCTION("IFERROR(IF(SUMPRODUCT(('Σύνοψη'!$F$2:$F289=$A121)*('Σύνοψη'!$C$2:$C289=G$3)*('Σύνοψη'!$G$2:$G289=$B121))&gt;0,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'Σύνοψη'!$C$2:$C289=G$3)), IF(SUMPRODUCT(('Σύνοψη'!$F$2:$F289=$A121)*('Σύνοψη'!$C$2:$C289=G$3)*('Σύνοψη'!$G$2:$G289&lt;$B121)*('Σύνοψη'!$H$2:$H289&gt;$B121))&gt;0, CHAR(34), """") ), """")"),"Πρακτική Άσκηση στην Αναισθησιολογία, τη Χειρουργική &amp; την Απεικονιστική Διαγνωστική Ι (Πρακτικά) (3η ημέρα) - 11:00 - 17:00 (Χειρουργική Κλινική)
-----------------------
Πρακτική Άσκηση στην Αναισθησιολογία, τη Χειρουργική &amp; την Απεικονιστική Διαγνωστική"&amp;" ΙΙ (Πρακτικά) (3η ημέρα) - 11:00 - 17:00 (Χειρουργική Κλινική)")</f>
        <v>Πρακτική Άσκηση στην Αναισθησιολογία, τη Χειρουργική &amp; την Απεικονιστική Διαγνωστική Ι (Πρακτικά) (3η ημέρα) - 11:00 - 17:00 (Χειρουργική Κλινική)
-----------------------
Πρακτική Άσκηση στην Αναισθησιολογία, τη Χειρουργική &amp; την Απεικονιστική Διαγνωστική ΙΙ (Πρακτικά) (3η ημέρα) - 11:00 - 17:00 (Χειρουργική Κλινική)</v>
      </c>
      <c r="H121" s="67" t="str">
        <f ca="1">IFERROR(__xludf.DUMMYFUNCTION("IFERROR(IF(SUMPRODUCT(('Σύνοψη'!$F$2:$F289=$A121)*('Σύνοψη'!$C$2:$C289=H$3)*('Σύνοψη'!$G$2:$G289=$B121))&gt;0, TEXTJOIN(CHAR(10) &amp; ""-----------------------"" &amp; CHAR(10), TRUE, FILTER('Σύνοψη'!$E$2:$E289 &amp; "" - "" &amp; 'Σύνοψη'!$I$2:$I289 &amp; "" ("" &amp; 'Σύνοψη'!$J"&amp;"$2:$J289 &amp; "")"", 'Σύνοψη'!$F$2:$F289=$A121, 'Σύνοψη'!$G$2:$G289=$B121, 'Σύνοψη'!$C$2:$C289=H$3)), IF(SUMPRODUCT(('Σύνοψη'!$F$2:$F289=$A121)*('Σύνοψη'!$C$2:$C289=H$3)*('Σύνοψη'!$G$2:$G289&lt;$B121)*('Σύνοψη'!$H$2:$H289&gt;$B121))&gt;0, CHAR(34), """") ), """")"),"Χειρουργική ΙV (Πρακτικά) (3η ημέρα) - 9:00 - 17:00 (Χειρουργική Κλινική)")</f>
        <v>Χειρουργική ΙV (Πρακτικά) (3η ημέρα) - 9:00 - 17:00 (Χειρουργική Κλινική)</v>
      </c>
      <c r="I121" s="3"/>
    </row>
    <row r="122" spans="1:9" s="100" customFormat="1" ht="30" x14ac:dyDescent="0.25">
      <c r="A122" s="95">
        <f t="shared" si="8"/>
        <v>46275</v>
      </c>
      <c r="B122" s="89">
        <v>0.5</v>
      </c>
      <c r="C122" s="67" t="str">
        <f ca="1">IFERROR(__xludf.DUMMYFUNCTION("IFERROR(IF(SUMPRODUCT(('Σύνοψη'!$F$2:$F289=$A122)*('Σύνοψη'!$C$2:$C289=C$3)*('Σύνοψη'!$G$2:$G289=$B122))&gt;0,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'Σύνοψη'!$C$2:$C289=C$3)), IF(SUMPRODUCT(('Σύνοψη'!$F$2:$F289=$A122)*('Σύνοψη'!$C$2:$C289=C$3)*('Σύνοψη'!$G$2:$G289&lt;$B122)*('Σύνοψη'!$H$2:$H289&gt;$B122))&gt;0, CHAR(34), """") ), """")"),"")</f>
        <v/>
      </c>
      <c r="D122" s="67" t="str">
        <f ca="1">IFERROR(__xludf.DUMMYFUNCTION("IFERROR(IF(SUMPRODUCT(('Σύνοψη'!$F$2:$F289=$A122)*('Σύνοψη'!$C$2:$C289=D$3)*('Σύνοψη'!$G$2:$G289=$B122))&gt;0,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'Σύνοψη'!$C$2:$C289=D$3)), IF(SUMPRODUCT(('Σύνοψη'!$F$2:$F289=$A122)*('Σύνοψη'!$C$2:$C289=D$3)*('Σύνοψη'!$G$2:$G289&lt;$B122)*('Σύνοψη'!$H$2:$H289&gt;$B122))&gt;0, CHAR(34), """") ), """")"),"Φαρμακολογία - 12:00 - 15:00 (Νέες Αίθουσες)")</f>
        <v>Φαρμακολογία - 12:00 - 15:00 (Νέες Αίθουσες)</v>
      </c>
      <c r="E122" s="67" t="str">
        <f ca="1">IFERROR(__xludf.DUMMYFUNCTION("IFERROR(IF(SUMPRODUCT(('Σύνοψη'!$F$2:$F289=$A122)*('Σύνοψη'!$C$2:$C289=E$3)*('Σύνοψη'!$G$2:$G289=$B122))&gt;0,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'Σύνοψη'!$C$2:$C289=E$3)), IF(SUMPRODUCT(('Σύνοψη'!$F$2:$F289=$A122)*('Σύνοψη'!$C$2:$C289=E$3)*('Σύνοψη'!$G$2:$G289&lt;$B122)*('Σύνοψη'!$H$2:$H289&gt;$B122))&gt;0, CHAR(34), """") ), """")"),"")</f>
        <v/>
      </c>
      <c r="F122" s="67" t="str">
        <f ca="1">IFERROR(__xludf.DUMMYFUNCTION("IFERROR(IF(SUMPRODUCT(('Σύνοψη'!$F$2:$F289=$A122)*('Σύνοψη'!$C$2:$C289=F$3)*('Σύνοψη'!$G$2:$G289=$B122))&gt;0,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'Σύνοψη'!$C$2:$C289=F$3)), IF(SUMPRODUCT(('Σύνοψη'!$F$2:$F289=$A122)*('Σύνοψη'!$C$2:$C289=F$3)*('Σύνοψη'!$G$2:$G289&lt;$B122)*('Σύνοψη'!$H$2:$H289&gt;$B122))&gt;0, CHAR(34), """") ), """")"),"")</f>
        <v/>
      </c>
      <c r="G122" s="67" t="str">
        <f ca="1">IFERROR(__xludf.DUMMYFUNCTION("IFERROR(IF(SUMPRODUCT(('Σύνοψη'!$F$2:$F289=$A122)*('Σύνοψη'!$C$2:$C289=G$3)*('Σύνοψη'!$G$2:$G289=$B122))&gt;0,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'Σύνοψη'!$C$2:$C289=G$3)), IF(SUMPRODUCT(('Σύνοψη'!$F$2:$F289=$A122)*('Σύνοψη'!$C$2:$C289=G$3)*('Σύνοψη'!$G$2:$G289&lt;$B122)*('Σύνοψη'!$H$2:$H289&gt;$B122))&gt;0, CHAR(34), """") ), """")"),"""")</f>
        <v>"</v>
      </c>
      <c r="H122" s="67" t="str">
        <f ca="1">IFERROR(__xludf.DUMMYFUNCTION("IFERROR(IF(SUMPRODUCT(('Σύνοψη'!$F$2:$F289=$A122)*('Σύνοψη'!$C$2:$C289=H$3)*('Σύνοψη'!$G$2:$G289=$B122))&gt;0, TEXTJOIN(CHAR(10) &amp; ""-----------------------"" &amp; CHAR(10), TRUE, FILTER('Σύνοψη'!$E$2:$E289 &amp; "" - "" &amp; 'Σύνοψη'!$I$2:$I289 &amp; "" ("" &amp; 'Σύνοψη'!$J"&amp;"$2:$J289 &amp; "")"", 'Σύνοψη'!$F$2:$F289=$A122, 'Σύνοψη'!$G$2:$G289=$B122, 'Σύνοψη'!$C$2:$C289=H$3)), IF(SUMPRODUCT(('Σύνοψη'!$F$2:$F289=$A122)*('Σύνοψη'!$C$2:$C289=H$3)*('Σύνοψη'!$G$2:$G289&lt;$B122)*('Σύνοψη'!$H$2:$H289&gt;$B122))&gt;0, CHAR(34), """") ), """")"),"""")</f>
        <v>"</v>
      </c>
      <c r="I122" s="3"/>
    </row>
    <row r="123" spans="1:9" s="100" customFormat="1" x14ac:dyDescent="0.25">
      <c r="A123" s="95">
        <f t="shared" si="8"/>
        <v>46275</v>
      </c>
      <c r="B123" s="89">
        <v>0.54166666666666663</v>
      </c>
      <c r="C123" s="67" t="str">
        <f ca="1">IFERROR(__xludf.DUMMYFUNCTION("IFERROR(IF(SUMPRODUCT(('Σύνοψη'!$F$2:$F289=$A123)*('Σύνοψη'!$C$2:$C289=C$3)*('Σύνοψη'!$G$2:$G289=$B123))&gt;0,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'Σύνοψη'!$C$2:$C289=C$3)), IF(SUMPRODUCT(('Σύνοψη'!$F$2:$F289=$A123)*('Σύνοψη'!$C$2:$C289=C$3)*('Σύνοψη'!$G$2:$G289&lt;$B123)*('Σύνοψη'!$H$2:$H289&gt;$B123))&gt;0, CHAR(34), """") ), """")"),"")</f>
        <v/>
      </c>
      <c r="D123" s="67" t="str">
        <f ca="1">IFERROR(__xludf.DUMMYFUNCTION("IFERROR(IF(SUMPRODUCT(('Σύνοψη'!$F$2:$F289=$A123)*('Σύνοψη'!$C$2:$C289=D$3)*('Σύνοψη'!$G$2:$G289=$B123))&gt;0,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'Σύνοψη'!$C$2:$C289=D$3)), IF(SUMPRODUCT(('Σύνοψη'!$F$2:$F289=$A123)*('Σύνοψη'!$C$2:$C289=D$3)*('Σύνοψη'!$G$2:$G289&lt;$B123)*('Σύνοψη'!$H$2:$H289&gt;$B123))&gt;0, CHAR(34), """") ), """")"),"""")</f>
        <v>"</v>
      </c>
      <c r="E123" s="67" t="str">
        <f ca="1">IFERROR(__xludf.DUMMYFUNCTION("IFERROR(IF(SUMPRODUCT(('Σύνοψη'!$F$2:$F289=$A123)*('Σύνοψη'!$C$2:$C289=E$3)*('Σύνοψη'!$G$2:$G289=$B123))&gt;0,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'Σύνοψη'!$C$2:$C289=E$3)), IF(SUMPRODUCT(('Σύνοψη'!$F$2:$F289=$A123)*('Σύνοψη'!$C$2:$C289=E$3)*('Σύνοψη'!$G$2:$G289&lt;$B123)*('Σύνοψη'!$H$2:$H289&gt;$B123))&gt;0, CHAR(34), """") ), """")"),"")</f>
        <v/>
      </c>
      <c r="F123" s="67" t="str">
        <f ca="1">IFERROR(__xludf.DUMMYFUNCTION("IFERROR(IF(SUMPRODUCT(('Σύνοψη'!$F$2:$F289=$A123)*('Σύνοψη'!$C$2:$C289=F$3)*('Σύνοψη'!$G$2:$G289=$B123))&gt;0,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'Σύνοψη'!$C$2:$C289=F$3)), IF(SUMPRODUCT(('Σύνοψη'!$F$2:$F289=$A123)*('Σύνοψη'!$C$2:$C289=F$3)*('Σύνοψη'!$G$2:$G289&lt;$B123)*('Σύνοψη'!$H$2:$H289&gt;$B123))&gt;0, CHAR(34), """") ), """")"),"")</f>
        <v/>
      </c>
      <c r="G123" s="67" t="str">
        <f ca="1">IFERROR(__xludf.DUMMYFUNCTION("IFERROR(IF(SUMPRODUCT(('Σύνοψη'!$F$2:$F289=$A123)*('Σύνοψη'!$C$2:$C289=G$3)*('Σύνοψη'!$G$2:$G289=$B123))&gt;0,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'Σύνοψη'!$C$2:$C289=G$3)), IF(SUMPRODUCT(('Σύνοψη'!$F$2:$F289=$A123)*('Σύνοψη'!$C$2:$C289=G$3)*('Σύνοψη'!$G$2:$G289&lt;$B123)*('Σύνοψη'!$H$2:$H289&gt;$B123))&gt;0, CHAR(34), """") ), """")"),"""")</f>
        <v>"</v>
      </c>
      <c r="H123" s="67" t="str">
        <f ca="1">IFERROR(__xludf.DUMMYFUNCTION("IFERROR(IF(SUMPRODUCT(('Σύνοψη'!$F$2:$F289=$A123)*('Σύνοψη'!$C$2:$C289=H$3)*('Σύνοψη'!$G$2:$G289=$B123))&gt;0, TEXTJOIN(CHAR(10) &amp; ""-----------------------"" &amp; CHAR(10), TRUE, FILTER('Σύνοψη'!$E$2:$E289 &amp; "" - "" &amp; 'Σύνοψη'!$I$2:$I289 &amp; "" ("" &amp; 'Σύνοψη'!$J"&amp;"$2:$J289 &amp; "")"", 'Σύνοψη'!$F$2:$F289=$A123, 'Σύνοψη'!$G$2:$G289=$B123, 'Σύνοψη'!$C$2:$C289=H$3)), IF(SUMPRODUCT(('Σύνοψη'!$F$2:$F289=$A123)*('Σύνοψη'!$C$2:$C289=H$3)*('Σύνοψη'!$G$2:$G289&lt;$B123)*('Σύνοψη'!$H$2:$H289&gt;$B123))&gt;0, CHAR(34), """") ), """")"),"""")</f>
        <v>"</v>
      </c>
      <c r="I123" s="3"/>
    </row>
    <row r="124" spans="1:9" s="100" customFormat="1" x14ac:dyDescent="0.25">
      <c r="A124" s="95">
        <f t="shared" si="8"/>
        <v>46275</v>
      </c>
      <c r="B124" s="89">
        <v>0.58333333333333337</v>
      </c>
      <c r="C124" s="67" t="str">
        <f ca="1">IFERROR(__xludf.DUMMYFUNCTION("IFERROR(IF(SUMPRODUCT(('Σύνοψη'!$F$2:$F289=$A124)*('Σύνοψη'!$C$2:$C289=C$3)*('Σύνοψη'!$G$2:$G289=$B124))&gt;0,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'Σύνοψη'!$C$2:$C289=C$3)), IF(SUMPRODUCT(('Σύνοψη'!$F$2:$F289=$A124)*('Σύνοψη'!$C$2:$C289=C$3)*('Σύνοψη'!$G$2:$G289&lt;$B124)*('Σύνοψη'!$H$2:$H289&gt;$B124))&gt;0, CHAR(34), """") ), """")"),"")</f>
        <v/>
      </c>
      <c r="D124" s="67" t="str">
        <f ca="1">IFERROR(__xludf.DUMMYFUNCTION("IFERROR(IF(SUMPRODUCT(('Σύνοψη'!$F$2:$F289=$A124)*('Σύνοψη'!$C$2:$C289=D$3)*('Σύνοψη'!$G$2:$G289=$B124))&gt;0,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'Σύνοψη'!$C$2:$C289=D$3)), IF(SUMPRODUCT(('Σύνοψη'!$F$2:$F289=$A124)*('Σύνοψη'!$C$2:$C289=D$3)*('Σύνοψη'!$G$2:$G289&lt;$B124)*('Σύνοψη'!$H$2:$H289&gt;$B124))&gt;0, CHAR(34), """") ), """")"),"""")</f>
        <v>"</v>
      </c>
      <c r="E124" s="67" t="str">
        <f ca="1">IFERROR(__xludf.DUMMYFUNCTION("IFERROR(IF(SUMPRODUCT(('Σύνοψη'!$F$2:$F289=$A124)*('Σύνοψη'!$C$2:$C289=E$3)*('Σύνοψη'!$G$2:$G289=$B124))&gt;0,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'Σύνοψη'!$C$2:$C289=E$3)), IF(SUMPRODUCT(('Σύνοψη'!$F$2:$F289=$A124)*('Σύνοψη'!$C$2:$C289=E$3)*('Σύνοψη'!$G$2:$G289&lt;$B124)*('Σύνοψη'!$H$2:$H289&gt;$B124))&gt;0, CHAR(34), """") ), """")"),"")</f>
        <v/>
      </c>
      <c r="F124" s="67" t="str">
        <f ca="1">IFERROR(__xludf.DUMMYFUNCTION("IFERROR(IF(SUMPRODUCT(('Σύνοψη'!$F$2:$F289=$A124)*('Σύνοψη'!$C$2:$C289=F$3)*('Σύνοψη'!$G$2:$G289=$B124))&gt;0,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'Σύνοψη'!$C$2:$C289=F$3)), IF(SUMPRODUCT(('Σύνοψη'!$F$2:$F289=$A124)*('Σύνοψη'!$C$2:$C289=F$3)*('Σύνοψη'!$G$2:$G289&lt;$B124)*('Σύνοψη'!$H$2:$H289&gt;$B124))&gt;0, CHAR(34), """") ), """")"),"")</f>
        <v/>
      </c>
      <c r="G124" s="67" t="str">
        <f ca="1">IFERROR(__xludf.DUMMYFUNCTION("IFERROR(IF(SUMPRODUCT(('Σύνοψη'!$F$2:$F289=$A124)*('Σύνοψη'!$C$2:$C289=G$3)*('Σύνοψη'!$G$2:$G289=$B124))&gt;0,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'Σύνοψη'!$C$2:$C289=G$3)), IF(SUMPRODUCT(('Σύνοψη'!$F$2:$F289=$A124)*('Σύνοψη'!$C$2:$C289=G$3)*('Σύνοψη'!$G$2:$G289&lt;$B124)*('Σύνοψη'!$H$2:$H289&gt;$B124))&gt;0, CHAR(34), """") ), """")"),"""")</f>
        <v>"</v>
      </c>
      <c r="H124" s="67" t="str">
        <f ca="1">IFERROR(__xludf.DUMMYFUNCTION("IFERROR(IF(SUMPRODUCT(('Σύνοψη'!$F$2:$F289=$A124)*('Σύνοψη'!$C$2:$C289=H$3)*('Σύνοψη'!$G$2:$G289=$B124))&gt;0, TEXTJOIN(CHAR(10) &amp; ""-----------------------"" &amp; CHAR(10), TRUE, FILTER('Σύνοψη'!$E$2:$E289 &amp; "" - "" &amp; 'Σύνοψη'!$I$2:$I289 &amp; "" ("" &amp; 'Σύνοψη'!$J"&amp;"$2:$J289 &amp; "")"", 'Σύνοψη'!$F$2:$F289=$A124, 'Σύνοψη'!$G$2:$G289=$B124, 'Σύνοψη'!$C$2:$C289=H$3)), IF(SUMPRODUCT(('Σύνοψη'!$F$2:$F289=$A124)*('Σύνοψη'!$C$2:$C289=H$3)*('Σύνοψη'!$G$2:$G289&lt;$B124)*('Σύνοψη'!$H$2:$H289&gt;$B124))&gt;0, CHAR(34), """") ), """")"),"""")</f>
        <v>"</v>
      </c>
      <c r="I124" s="3"/>
    </row>
    <row r="125" spans="1:9" s="100" customFormat="1" ht="90" x14ac:dyDescent="0.25">
      <c r="A125" s="95">
        <f t="shared" si="8"/>
        <v>46275</v>
      </c>
      <c r="B125" s="89">
        <v>0.625</v>
      </c>
      <c r="C125" s="67" t="str">
        <f ca="1">IFERROR(__xludf.DUMMYFUNCTION("IFERROR(IF(SUMPRODUCT(('Σύνοψη'!$F$2:$F289=$A125)*('Σύνοψη'!$C$2:$C289=C$3)*('Σύνοψη'!$G$2:$G289=$B125))&gt;0,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'Σύνοψη'!$C$2:$C289=C$3)), IF(SUMPRODUCT(('Σύνοψη'!$F$2:$F289=$A125)*('Σύνοψη'!$C$2:$C289=C$3)*('Σύνοψη'!$G$2:$G289&lt;$B125)*('Σύνοψη'!$H$2:$H289&gt;$B125))&gt;0, CHAR(34), """") ), """")"),"Μακροσκοπική Ανατομική Ι (Θεωρία) - 15:00 - 17:00 (Αμφιθέατρα)")</f>
        <v>Μακροσκοπική Ανατομική Ι (Θεωρία) - 15:00 - 17:00 (Αμφιθέατρα)</v>
      </c>
      <c r="D125" s="67" t="str">
        <f ca="1">IFERROR(__xludf.DUMMYFUNCTION("IFERROR(IF(SUMPRODUCT(('Σύνοψη'!$F$2:$F289=$A125)*('Σύνοψη'!$C$2:$C289=D$3)*('Σύνοψη'!$G$2:$G289=$B125))&gt;0,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'Σύνοψη'!$C$2:$C289=D$3)), IF(SUMPRODUCT(('Σύνοψη'!$F$2:$F289=$A125)*('Σύνοψη'!$C$2:$C289=D$3)*('Σύνοψη'!$G$2:$G289&lt;$B125)*('Σύνοψη'!$H$2:$H289&gt;$B125))&gt;0, CHAR(34), """") ), """")"),"")</f>
        <v/>
      </c>
      <c r="E125" s="67" t="str">
        <f ca="1">IFERROR(__xludf.DUMMYFUNCTION("IFERROR(IF(SUMPRODUCT(('Σύνοψη'!$F$2:$F289=$A125)*('Σύνοψη'!$C$2:$C289=E$3)*('Σύνοψη'!$G$2:$G289=$B125))&gt;0,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'Σύνοψη'!$C$2:$C289=E$3)), IF(SUMPRODUCT(('Σύνοψη'!$F$2:$F289=$A125)*('Σύνοψη'!$C$2:$C289=E$3)*('Σύνοψη'!$G$2:$G289&lt;$B125)*('Σύνοψη'!$H$2:$H289&gt;$B125))&gt;0, CHAR(34), """") ), """")"),"Παθολογία Ζώων Συντροφιάς Ι - 15:00 - 17:00 (Νέες Αίθουσες)")</f>
        <v>Παθολογία Ζώων Συντροφιάς Ι - 15:00 - 17:00 (Νέες Αίθουσες)</v>
      </c>
      <c r="F125" s="67" t="str">
        <f ca="1">IFERROR(__xludf.DUMMYFUNCTION("IFERROR(IF(SUMPRODUCT(('Σύνοψη'!$F$2:$F289=$A125)*('Σύνοψη'!$C$2:$C289=F$3)*('Σύνοψη'!$G$2:$G289=$B125))&gt;0,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'Σύνοψη'!$C$2:$C289=F$3)), IF(SUMPRODUCT(('Σύνοψη'!$F$2:$F289=$A125)*('Σύνοψη'!$C$2:$C289=F$3)*('Σύνοψη'!$G$2:$G289&lt;$B125)*('Σύνοψη'!$H$2:$H289&gt;$B125))&gt;0, CHAR(34), """") ), """")"),"")</f>
        <v/>
      </c>
      <c r="G125" s="67" t="str">
        <f ca="1">IFERROR(__xludf.DUMMYFUNCTION("IFERROR(IF(SUMPRODUCT(('Σύνοψη'!$F$2:$F289=$A125)*('Σύνοψη'!$C$2:$C289=G$3)*('Σύνοψη'!$G$2:$G289=$B125))&gt;0,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'Σύνοψη'!$C$2:$C289=G$3)), IF(SUMPRODUCT(('Σύνοψη'!$F$2:$F289=$A125)*('Σύνοψη'!$C$2:$C289=G$3)*('Σύνοψη'!$G$2:$G289&lt;$B125)*('Σύνοψη'!$H$2:$H289&gt;$B125))&gt;0, CHAR(34), """") ), """")"),"""")</f>
        <v>"</v>
      </c>
      <c r="H125" s="67" t="str">
        <f ca="1">IFERROR(__xludf.DUMMYFUNCTION("IFERROR(IF(SUMPRODUCT(('Σύνοψη'!$F$2:$F289=$A125)*('Σύνοψη'!$C$2:$C289=H$3)*('Σύνοψη'!$G$2:$G289=$B125))&gt;0, TEXTJOIN(CHAR(10) &amp; ""-----------------------"" &amp; CHAR(10), TRUE, FILTER('Σύνοψη'!$E$2:$E289 &amp; "" - "" &amp; 'Σύνοψη'!$I$2:$I289 &amp; "" ("" &amp; 'Σύνοψη'!$J"&amp;"$2:$J289 &amp; "")"", 'Σύνοψη'!$F$2:$F289=$A125, 'Σύνοψη'!$G$2:$G289=$B125, 'Σύνοψη'!$C$2:$C289=H$3)), IF(SUMPRODUCT(('Σύνοψη'!$F$2:$F289=$A125)*('Σύνοψη'!$C$2:$C289=H$3)*('Σύνοψη'!$G$2:$G289&lt;$B125)*('Σύνοψη'!$H$2:$H289&gt;$B125))&gt;0, CHAR(34), """") ), """")"),"Μακροσκοπική Ανατομική Ι (ΠΠΣ) (Θεωρία) - 15:00 - 17:00 (Αμφιθέατρα)
-----------------------
Ειδική Παθολογία ΖΣ Ι (ΠΠΣ) - 15:00 - 17:00 (Νέες Αίθουσες)")</f>
        <v>Μακροσκοπική Ανατομική Ι (ΠΠΣ) (Θεωρία) - 15:00 - 17:00 (Αμφιθέατρα)
-----------------------
Ειδική Παθολογία ΖΣ Ι (ΠΠΣ) - 15:00 - 17:00 (Νέες Αίθουσες)</v>
      </c>
      <c r="I125" s="3"/>
    </row>
    <row r="126" spans="1:9" s="100" customFormat="1" x14ac:dyDescent="0.25">
      <c r="A126" s="95">
        <f t="shared" si="8"/>
        <v>46275</v>
      </c>
      <c r="B126" s="89">
        <v>0.66666666666666663</v>
      </c>
      <c r="C126" s="67" t="str">
        <f ca="1">IFERROR(__xludf.DUMMYFUNCTION("IFERROR(IF(SUMPRODUCT(('Σύνοψη'!$F$2:$F289=$A126)*('Σύνοψη'!$C$2:$C289=C$3)*('Σύνοψη'!$G$2:$G289=$B126))&gt;0,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'Σύνοψη'!$C$2:$C289=C$3)), IF(SUMPRODUCT(('Σύνοψη'!$F$2:$F289=$A126)*('Σύνοψη'!$C$2:$C289=C$3)*('Σύνοψη'!$G$2:$G289&lt;$B126)*('Σύνοψη'!$H$2:$H289&gt;$B126))&gt;0, CHAR(34), """") ), """")"),"""")</f>
        <v>"</v>
      </c>
      <c r="D126" s="67" t="str">
        <f ca="1">IFERROR(__xludf.DUMMYFUNCTION("IFERROR(IF(SUMPRODUCT(('Σύνοψη'!$F$2:$F289=$A126)*('Σύνοψη'!$C$2:$C289=D$3)*('Σύνοψη'!$G$2:$G289=$B126))&gt;0,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'Σύνοψη'!$C$2:$C289=D$3)), IF(SUMPRODUCT(('Σύνοψη'!$F$2:$F289=$A126)*('Σύνοψη'!$C$2:$C289=D$3)*('Σύνοψη'!$G$2:$G289&lt;$B126)*('Σύνοψη'!$H$2:$H289&gt;$B126))&gt;0, CHAR(34), """") ), """")"),"")</f>
        <v/>
      </c>
      <c r="E126" s="67" t="str">
        <f ca="1">IFERROR(__xludf.DUMMYFUNCTION("IFERROR(IF(SUMPRODUCT(('Σύνοψη'!$F$2:$F289=$A126)*('Σύνοψη'!$C$2:$C289=E$3)*('Σύνοψη'!$G$2:$G289=$B126))&gt;0,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'Σύνοψη'!$C$2:$C289=E$3)), IF(SUMPRODUCT(('Σύνοψη'!$F$2:$F289=$A126)*('Σύνοψη'!$C$2:$C289=E$3)*('Σύνοψη'!$G$2:$G289&lt;$B126)*('Σύνοψη'!$H$2:$H289&gt;$B126))&gt;0, CHAR(34), """") ), """")"),"""")</f>
        <v>"</v>
      </c>
      <c r="F126" s="67" t="str">
        <f ca="1">IFERROR(__xludf.DUMMYFUNCTION("IFERROR(IF(SUMPRODUCT(('Σύνοψη'!$F$2:$F289=$A126)*('Σύνοψη'!$C$2:$C289=F$3)*('Σύνοψη'!$G$2:$G289=$B126))&gt;0,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'Σύνοψη'!$C$2:$C289=F$3)), IF(SUMPRODUCT(('Σύνοψη'!$F$2:$F289=$A126)*('Σύνοψη'!$C$2:$C289=F$3)*('Σύνοψη'!$G$2:$G289&lt;$B126)*('Σύνοψη'!$H$2:$H289&gt;$B126))&gt;0, CHAR(34), """") ), """")"),"")</f>
        <v/>
      </c>
      <c r="G126" s="67" t="str">
        <f ca="1">IFERROR(__xludf.DUMMYFUNCTION("IFERROR(IF(SUMPRODUCT(('Σύνοψη'!$F$2:$F289=$A126)*('Σύνοψη'!$C$2:$C289=G$3)*('Σύνοψη'!$G$2:$G289=$B126))&gt;0,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'Σύνοψη'!$C$2:$C289=G$3)), IF(SUMPRODUCT(('Σύνοψη'!$F$2:$F289=$A126)*('Σύνοψη'!$C$2:$C289=G$3)*('Σύνοψη'!$G$2:$G289&lt;$B126)*('Σύνοψη'!$H$2:$H289&gt;$B126))&gt;0, CHAR(34), """") ), """")"),"""")</f>
        <v>"</v>
      </c>
      <c r="H126" s="67" t="str">
        <f ca="1">IFERROR(__xludf.DUMMYFUNCTION("IFERROR(IF(SUMPRODUCT(('Σύνοψη'!$F$2:$F289=$A126)*('Σύνοψη'!$C$2:$C289=H$3)*('Σύνοψη'!$G$2:$G289=$B126))&gt;0, TEXTJOIN(CHAR(10) &amp; ""-----------------------"" &amp; CHAR(10), TRUE, FILTER('Σύνοψη'!$E$2:$E289 &amp; "" - "" &amp; 'Σύνοψη'!$I$2:$I289 &amp; "" ("" &amp; 'Σύνοψη'!$J"&amp;"$2:$J289 &amp; "")"", 'Σύνοψη'!$F$2:$F289=$A126, 'Σύνοψη'!$G$2:$G289=$B126, 'Σύνοψη'!$C$2:$C289=H$3)), IF(SUMPRODUCT(('Σύνοψη'!$F$2:$F289=$A126)*('Σύνοψη'!$C$2:$C289=H$3)*('Σύνοψη'!$G$2:$G289&lt;$B126)*('Σύνοψη'!$H$2:$H289&gt;$B126))&gt;0, CHAR(34), """") ), """")"),"""")</f>
        <v>"</v>
      </c>
      <c r="I126" s="3"/>
    </row>
    <row r="127" spans="1:9" s="100" customFormat="1" x14ac:dyDescent="0.25">
      <c r="A127" s="95">
        <f t="shared" si="8"/>
        <v>46275</v>
      </c>
      <c r="B127" s="89">
        <v>0.70833333333333337</v>
      </c>
      <c r="C127" s="67" t="str">
        <f ca="1">IFERROR(__xludf.DUMMYFUNCTION("IFERROR(IF(SUMPRODUCT(('Σύνοψη'!$F$2:$F289=$A127)*('Σύνοψη'!$C$2:$C289=C$3)*('Σύνοψη'!$G$2:$G289=$B127))&gt;0,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'Σύνοψη'!$C$2:$C289=C$3)), IF(SUMPRODUCT(('Σύνοψη'!$F$2:$F289=$A127)*('Σύνοψη'!$C$2:$C289=C$3)*('Σύνοψη'!$G$2:$G289&lt;$B127)*('Σύνοψη'!$H$2:$H289&gt;$B127))&gt;0, CHAR(34), """") ), """")"),"")</f>
        <v/>
      </c>
      <c r="D127" s="67" t="str">
        <f ca="1">IFERROR(__xludf.DUMMYFUNCTION("IFERROR(IF(SUMPRODUCT(('Σύνοψη'!$F$2:$F289=$A127)*('Σύνοψη'!$C$2:$C289=D$3)*('Σύνοψη'!$G$2:$G289=$B127))&gt;0,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'Σύνοψη'!$C$2:$C289=D$3)), IF(SUMPRODUCT(('Σύνοψη'!$F$2:$F289=$A127)*('Σύνοψη'!$C$2:$C289=D$3)*('Σύνοψη'!$G$2:$G289&lt;$B127)*('Σύνοψη'!$H$2:$H289&gt;$B127))&gt;0, CHAR(34), """") ), """")"),"")</f>
        <v/>
      </c>
      <c r="E127" s="67" t="str">
        <f ca="1">IFERROR(__xludf.DUMMYFUNCTION("IFERROR(IF(SUMPRODUCT(('Σύνοψη'!$F$2:$F289=$A127)*('Σύνοψη'!$C$2:$C289=E$3)*('Σύνοψη'!$G$2:$G289=$B127))&gt;0,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'Σύνοψη'!$C$2:$C289=E$3)), IF(SUMPRODUCT(('Σύνοψη'!$F$2:$F289=$A127)*('Σύνοψη'!$C$2:$C289=E$3)*('Σύνοψη'!$G$2:$G289&lt;$B127)*('Σύνοψη'!$H$2:$H289&gt;$B127))&gt;0, CHAR(34), """") ), """")"),"")</f>
        <v/>
      </c>
      <c r="F127" s="67" t="str">
        <f ca="1">IFERROR(__xludf.DUMMYFUNCTION("IFERROR(IF(SUMPRODUCT(('Σύνοψη'!$F$2:$F289=$A127)*('Σύνοψη'!$C$2:$C289=F$3)*('Σύνοψη'!$G$2:$G289=$B127))&gt;0,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'Σύνοψη'!$C$2:$C289=F$3)), IF(SUMPRODUCT(('Σύνοψη'!$F$2:$F289=$A127)*('Σύνοψη'!$C$2:$C289=F$3)*('Σύνοψη'!$G$2:$G289&lt;$B127)*('Σύνοψη'!$H$2:$H289&gt;$B127))&gt;0, CHAR(34), """") ), """")"),"")</f>
        <v/>
      </c>
      <c r="G127" s="67" t="str">
        <f ca="1">IFERROR(__xludf.DUMMYFUNCTION("IFERROR(IF(SUMPRODUCT(('Σύνοψη'!$F$2:$F289=$A127)*('Σύνοψη'!$C$2:$C289=G$3)*('Σύνοψη'!$G$2:$G289=$B127))&gt;0,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'Σύνοψη'!$C$2:$C289=G$3)), IF(SUMPRODUCT(('Σύνοψη'!$F$2:$F289=$A127)*('Σύνοψη'!$C$2:$C289=G$3)*('Σύνοψη'!$G$2:$G289&lt;$B127)*('Σύνοψη'!$H$2:$H289&gt;$B127))&gt;0, CHAR(34), """") ), """")"),"")</f>
        <v/>
      </c>
      <c r="H127" s="67" t="str">
        <f ca="1">IFERROR(__xludf.DUMMYFUNCTION("IFERROR(IF(SUMPRODUCT(('Σύνοψη'!$F$2:$F289=$A127)*('Σύνοψη'!$C$2:$C289=H$3)*('Σύνοψη'!$G$2:$G289=$B127))&gt;0, TEXTJOIN(CHAR(10) &amp; ""-----------------------"" &amp; CHAR(10), TRUE, FILTER('Σύνοψη'!$E$2:$E289 &amp; "" - "" &amp; 'Σύνοψη'!$I$2:$I289 &amp; "" ("" &amp; 'Σύνοψη'!$J"&amp;"$2:$J289 &amp; "")"", 'Σύνοψη'!$F$2:$F289=$A127, 'Σύνοψη'!$G$2:$G289=$B127, 'Σύνοψη'!$C$2:$C289=H$3)), IF(SUMPRODUCT(('Σύνοψη'!$F$2:$F289=$A127)*('Σύνοψη'!$C$2:$C289=H$3)*('Σύνοψη'!$G$2:$G289&lt;$B127)*('Σύνοψη'!$H$2:$H289&gt;$B127))&gt;0, CHAR(34), """") ), """")"),"")</f>
        <v/>
      </c>
      <c r="I127" s="3"/>
    </row>
    <row r="128" spans="1:9" s="100" customFormat="1" ht="45" x14ac:dyDescent="0.25">
      <c r="A128" s="95">
        <f t="shared" si="8"/>
        <v>46275</v>
      </c>
      <c r="B128" s="89">
        <v>0.75</v>
      </c>
      <c r="C128" s="67" t="str">
        <f ca="1">IFERROR(__xludf.DUMMYFUNCTION("IFERROR(IF(SUMPRODUCT(('Σύνοψη'!$F$2:$F289=$A128)*('Σύνοψη'!$C$2:$C289=C$3)*('Σύνοψη'!$G$2:$G289=$B128))&gt;0,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'Σύνοψη'!$C$2:$C289=C$3)), IF(SUMPRODUCT(('Σύνοψη'!$F$2:$F289=$A128)*('Σύνοψη'!$C$2:$C289=C$3)*('Σύνοψη'!$G$2:$G289&lt;$B128)*('Σύνοψη'!$H$2:$H289&gt;$B128))&gt;0, CHAR(34), """") ), """")"),"Μελισσοκομία &amp; Μελισσοπαθολογία - 18:00 - 19:00 (Μεγάλο Αμφιθέατρο)")</f>
        <v>Μελισσοκομία &amp; Μελισσοπαθολογία - 18:00 - 19:00 (Μεγάλο Αμφιθέατρο)</v>
      </c>
      <c r="D128" s="67" t="str">
        <f ca="1">IFERROR(__xludf.DUMMYFUNCTION("IFERROR(IF(SUMPRODUCT(('Σύνοψη'!$F$2:$F289=$A128)*('Σύνοψη'!$C$2:$C289=D$3)*('Σύνοψη'!$G$2:$G289=$B128))&gt;0,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'Σύνοψη'!$C$2:$C289=D$3)), IF(SUMPRODUCT(('Σύνοψη'!$F$2:$F289=$A128)*('Σύνοψη'!$C$2:$C289=D$3)*('Σύνοψη'!$G$2:$G289&lt;$B128)*('Σύνοψη'!$H$2:$H289&gt;$B128))&gt;0, CHAR(34), """") ), """")"),"")</f>
        <v/>
      </c>
      <c r="E128" s="67" t="str">
        <f ca="1">IFERROR(__xludf.DUMMYFUNCTION("IFERROR(IF(SUMPRODUCT(('Σύνοψη'!$F$2:$F289=$A128)*('Σύνοψη'!$C$2:$C289=E$3)*('Σύνοψη'!$G$2:$G289=$B128))&gt;0,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'Σύνοψη'!$C$2:$C289=E$3)), IF(SUMPRODUCT(('Σύνοψη'!$F$2:$F289=$A128)*('Σύνοψη'!$C$2:$C289=E$3)*('Σύνοψη'!$G$2:$G289&lt;$B128)*('Σύνοψη'!$H$2:$H289&gt;$B128))&gt;0, CHAR(34), """") ), """")"),"")</f>
        <v/>
      </c>
      <c r="F128" s="67" t="str">
        <f ca="1">IFERROR(__xludf.DUMMYFUNCTION("IFERROR(IF(SUMPRODUCT(('Σύνοψη'!$F$2:$F289=$A128)*('Σύνοψη'!$C$2:$C289=F$3)*('Σύνοψη'!$G$2:$G289=$B128))&gt;0,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'Σύνοψη'!$C$2:$C289=F$3)), IF(SUMPRODUCT(('Σύνοψη'!$F$2:$F289=$A128)*('Σύνοψη'!$C$2:$C289=F$3)*('Σύνοψη'!$G$2:$G289&lt;$B128)*('Σύνοψη'!$H$2:$H289&gt;$B128))&gt;0, CHAR(34), """") ), """")"),"")</f>
        <v/>
      </c>
      <c r="G128" s="67" t="str">
        <f ca="1">IFERROR(__xludf.DUMMYFUNCTION("IFERROR(IF(SUMPRODUCT(('Σύνοψη'!$F$2:$F289=$A128)*('Σύνοψη'!$C$2:$C289=G$3)*('Σύνοψη'!$G$2:$G289=$B128))&gt;0,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'Σύνοψη'!$C$2:$C289=G$3)), IF(SUMPRODUCT(('Σύνοψη'!$F$2:$F289=$A128)*('Σύνοψη'!$C$2:$C289=G$3)*('Σύνοψη'!$G$2:$G289&lt;$B128)*('Σύνοψη'!$H$2:$H289&gt;$B128))&gt;0, CHAR(34), """") ), """")"),"")</f>
        <v/>
      </c>
      <c r="H128" s="67" t="str">
        <f ca="1">IFERROR(__xludf.DUMMYFUNCTION("IFERROR(IF(SUMPRODUCT(('Σύνοψη'!$F$2:$F289=$A128)*('Σύνοψη'!$C$2:$C289=H$3)*('Σύνοψη'!$G$2:$G289=$B128))&gt;0, TEXTJOIN(CHAR(10) &amp; ""-----------------------"" &amp; CHAR(10), TRUE, FILTER('Σύνοψη'!$E$2:$E289 &amp; "" - "" &amp; 'Σύνοψη'!$I$2:$I289 &amp; "" ("" &amp; 'Σύνοψη'!$J"&amp;"$2:$J289 &amp; "")"", 'Σύνοψη'!$F$2:$F289=$A128, 'Σύνοψη'!$G$2:$G289=$B128, 'Σύνοψη'!$C$2:$C289=H$3)), IF(SUMPRODUCT(('Σύνοψη'!$F$2:$F289=$A128)*('Σύνοψη'!$C$2:$C289=H$3)*('Σύνοψη'!$G$2:$G289&lt;$B128)*('Σύνοψη'!$H$2:$H289&gt;$B128))&gt;0, CHAR(34), """") ), """")"),"")</f>
        <v/>
      </c>
      <c r="I128" s="3"/>
    </row>
    <row r="129" spans="1:9" s="100" customFormat="1" x14ac:dyDescent="0.25">
      <c r="A129" s="95">
        <f t="shared" si="8"/>
        <v>46275</v>
      </c>
      <c r="B129" s="89">
        <v>0.79166666666666663</v>
      </c>
      <c r="C129" s="67" t="str">
        <f ca="1">IFERROR(__xludf.DUMMYFUNCTION("IFERROR(IF(SUMPRODUCT(('Σύνοψη'!$F$2:$F289=$A129)*('Σύνοψη'!$C$2:$C289=C$3)*('Σύνοψη'!$G$2:$G289=$B129))&gt;0,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'Σύνοψη'!$C$2:$C289=C$3)), IF(SUMPRODUCT(('Σύνοψη'!$F$2:$F289=$A129)*('Σύνοψη'!$C$2:$C289=C$3)*('Σύνοψη'!$G$2:$G289&lt;$B129)*('Σύνοψη'!$H$2:$H289&gt;$B129))&gt;0, CHAR(34), """") ), """")"),"")</f>
        <v/>
      </c>
      <c r="D129" s="67" t="str">
        <f ca="1">IFERROR(__xludf.DUMMYFUNCTION("IFERROR(IF(SUMPRODUCT(('Σύνοψη'!$F$2:$F289=$A129)*('Σύνοψη'!$C$2:$C289=D$3)*('Σύνοψη'!$G$2:$G289=$B129))&gt;0,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'Σύνοψη'!$C$2:$C289=D$3)), IF(SUMPRODUCT(('Σύνοψη'!$F$2:$F289=$A129)*('Σύνοψη'!$C$2:$C289=D$3)*('Σύνοψη'!$G$2:$G289&lt;$B129)*('Σύνοψη'!$H$2:$H289&gt;$B129))&gt;0, CHAR(34), """") ), """")"),"")</f>
        <v/>
      </c>
      <c r="E129" s="67" t="str">
        <f ca="1">IFERROR(__xludf.DUMMYFUNCTION("IFERROR(IF(SUMPRODUCT(('Σύνοψη'!$F$2:$F289=$A129)*('Σύνοψη'!$C$2:$C289=E$3)*('Σύνοψη'!$G$2:$G289=$B129))&gt;0,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'Σύνοψη'!$C$2:$C289=E$3)), IF(SUMPRODUCT(('Σύνοψη'!$F$2:$F289=$A129)*('Σύνοψη'!$C$2:$C289=E$3)*('Σύνοψη'!$G$2:$G289&lt;$B129)*('Σύνοψη'!$H$2:$H289&gt;$B129))&gt;0, CHAR(34), """") ), """")"),"")</f>
        <v/>
      </c>
      <c r="F129" s="67" t="str">
        <f ca="1">IFERROR(__xludf.DUMMYFUNCTION("IFERROR(IF(SUMPRODUCT(('Σύνοψη'!$F$2:$F289=$A129)*('Σύνοψη'!$C$2:$C289=F$3)*('Σύνοψη'!$G$2:$G289=$B129))&gt;0,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'Σύνοψη'!$C$2:$C289=F$3)), IF(SUMPRODUCT(('Σύνοψη'!$F$2:$F289=$A129)*('Σύνοψη'!$C$2:$C289=F$3)*('Σύνοψη'!$G$2:$G289&lt;$B129)*('Σύνοψη'!$H$2:$H289&gt;$B129))&gt;0, CHAR(34), """") ), """")"),"")</f>
        <v/>
      </c>
      <c r="G129" s="67" t="str">
        <f ca="1">IFERROR(__xludf.DUMMYFUNCTION("IFERROR(IF(SUMPRODUCT(('Σύνοψη'!$F$2:$F289=$A129)*('Σύνοψη'!$C$2:$C289=G$3)*('Σύνοψη'!$G$2:$G289=$B129))&gt;0,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'Σύνοψη'!$C$2:$C289=G$3)), IF(SUMPRODUCT(('Σύνοψη'!$F$2:$F289=$A129)*('Σύνοψη'!$C$2:$C289=G$3)*('Σύνοψη'!$G$2:$G289&lt;$B129)*('Σύνοψη'!$H$2:$H289&gt;$B129))&gt;0, CHAR(34), """") ), """")"),"")</f>
        <v/>
      </c>
      <c r="H129" s="67" t="str">
        <f ca="1">IFERROR(__xludf.DUMMYFUNCTION("IFERROR(IF(SUMPRODUCT(('Σύνοψη'!$F$2:$F289=$A129)*('Σύνοψη'!$C$2:$C289=H$3)*('Σύνοψη'!$G$2:$G289=$B129))&gt;0, TEXTJOIN(CHAR(10) &amp; ""-----------------------"" &amp; CHAR(10), TRUE, FILTER('Σύνοψη'!$E$2:$E289 &amp; "" - "" &amp; 'Σύνοψη'!$I$2:$I289 &amp; "" ("" &amp; 'Σύνοψη'!$J"&amp;"$2:$J289 &amp; "")"", 'Σύνοψη'!$F$2:$F289=$A129, 'Σύνοψη'!$G$2:$G289=$B129, 'Σύνοψη'!$C$2:$C289=H$3)), IF(SUMPRODUCT(('Σύνοψη'!$F$2:$F289=$A129)*('Σύνοψη'!$C$2:$C289=H$3)*('Σύνοψη'!$G$2:$G289&lt;$B129)*('Σύνοψη'!$H$2:$H289&gt;$B129))&gt;0, CHAR(34), """") ), """")"),"")</f>
        <v/>
      </c>
      <c r="I129" s="3"/>
    </row>
    <row r="130" spans="1:9" s="100" customFormat="1" x14ac:dyDescent="0.25">
      <c r="A130" s="95">
        <f t="shared" si="8"/>
        <v>46275</v>
      </c>
      <c r="B130" s="89">
        <v>0.83333333333333337</v>
      </c>
      <c r="C130" s="67" t="str">
        <f ca="1">IFERROR(__xludf.DUMMYFUNCTION("IFERROR(IF(SUMPRODUCT(('Σύνοψη'!$F$2:$F289=$A130)*('Σύνοψη'!$C$2:$C289=C$3)*('Σύνοψη'!$G$2:$G289=$B130))&gt;0,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'Σύνοψη'!$C$2:$C289=C$3)), IF(SUMPRODUCT(('Σύνοψη'!$F$2:$F289=$A130)*('Σύνοψη'!$C$2:$C289=C$3)*('Σύνοψη'!$G$2:$G289&lt;$B130)*('Σύνοψη'!$H$2:$H289&gt;$B130))&gt;0, CHAR(34), """") ), """")"),"")</f>
        <v/>
      </c>
      <c r="D130" s="67" t="str">
        <f ca="1">IFERROR(__xludf.DUMMYFUNCTION("IFERROR(IF(SUMPRODUCT(('Σύνοψη'!$F$2:$F289=$A130)*('Σύνοψη'!$C$2:$C289=D$3)*('Σύνοψη'!$G$2:$G289=$B130))&gt;0,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'Σύνοψη'!$C$2:$C289=D$3)), IF(SUMPRODUCT(('Σύνοψη'!$F$2:$F289=$A130)*('Σύνοψη'!$C$2:$C289=D$3)*('Σύνοψη'!$G$2:$G289&lt;$B130)*('Σύνοψη'!$H$2:$H289&gt;$B130))&gt;0, CHAR(34), """") ), """")"),"")</f>
        <v/>
      </c>
      <c r="E130" s="67" t="str">
        <f ca="1">IFERROR(__xludf.DUMMYFUNCTION("IFERROR(IF(SUMPRODUCT(('Σύνοψη'!$F$2:$F289=$A130)*('Σύνοψη'!$C$2:$C289=E$3)*('Σύνοψη'!$G$2:$G289=$B130))&gt;0,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'Σύνοψη'!$C$2:$C289=E$3)), IF(SUMPRODUCT(('Σύνοψη'!$F$2:$F289=$A130)*('Σύνοψη'!$C$2:$C289=E$3)*('Σύνοψη'!$G$2:$G289&lt;$B130)*('Σύνοψη'!$H$2:$H289&gt;$B130))&gt;0, CHAR(34), """") ), """")"),"")</f>
        <v/>
      </c>
      <c r="F130" s="67" t="str">
        <f ca="1">IFERROR(__xludf.DUMMYFUNCTION("IFERROR(IF(SUMPRODUCT(('Σύνοψη'!$F$2:$F289=$A130)*('Σύνοψη'!$C$2:$C289=F$3)*('Σύνοψη'!$G$2:$G289=$B130))&gt;0,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'Σύνοψη'!$C$2:$C289=F$3)), IF(SUMPRODUCT(('Σύνοψη'!$F$2:$F289=$A130)*('Σύνοψη'!$C$2:$C289=F$3)*('Σύνοψη'!$G$2:$G289&lt;$B130)*('Σύνοψη'!$H$2:$H289&gt;$B130))&gt;0, CHAR(34), """") ), """")"),"")</f>
        <v/>
      </c>
      <c r="G130" s="67" t="str">
        <f ca="1">IFERROR(__xludf.DUMMYFUNCTION("IFERROR(IF(SUMPRODUCT(('Σύνοψη'!$F$2:$F289=$A130)*('Σύνοψη'!$C$2:$C289=G$3)*('Σύνοψη'!$G$2:$G289=$B130))&gt;0,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'Σύνοψη'!$C$2:$C289=G$3)), IF(SUMPRODUCT(('Σύνοψη'!$F$2:$F289=$A130)*('Σύνοψη'!$C$2:$C289=G$3)*('Σύνοψη'!$G$2:$G289&lt;$B130)*('Σύνοψη'!$H$2:$H289&gt;$B130))&gt;0, CHAR(34), """") ), """")"),"")</f>
        <v/>
      </c>
      <c r="H130" s="67" t="str">
        <f ca="1">IFERROR(__xludf.DUMMYFUNCTION("IFERROR(IF(SUMPRODUCT(('Σύνοψη'!$F$2:$F289=$A130)*('Σύνοψη'!$C$2:$C289=H$3)*('Σύνοψη'!$G$2:$G289=$B130))&gt;0, TEXTJOIN(CHAR(10) &amp; ""-----------------------"" &amp; CHAR(10), TRUE, FILTER('Σύνοψη'!$E$2:$E289 &amp; "" - "" &amp; 'Σύνοψη'!$I$2:$I289 &amp; "" ("" &amp; 'Σύνοψη'!$J"&amp;"$2:$J289 &amp; "")"", 'Σύνοψη'!$F$2:$F289=$A130, 'Σύνοψη'!$G$2:$G289=$B130, 'Σύνοψη'!$C$2:$C289=H$3)), IF(SUMPRODUCT(('Σύνοψη'!$F$2:$F289=$A130)*('Σύνοψη'!$C$2:$C289=H$3)*('Σύνοψη'!$G$2:$G289&lt;$B130)*('Σύνοψη'!$H$2:$H289&gt;$B130))&gt;0, CHAR(34), """") ), """")"),"")</f>
        <v/>
      </c>
      <c r="I130" s="3"/>
    </row>
    <row r="131" spans="1:9" s="100" customFormat="1" x14ac:dyDescent="0.25">
      <c r="A131" s="95">
        <f t="shared" si="8"/>
        <v>46275</v>
      </c>
      <c r="B131" s="89">
        <v>0.875</v>
      </c>
      <c r="C131" s="67" t="str">
        <f ca="1">IFERROR(__xludf.DUMMYFUNCTION("IFERROR(IF(SUMPRODUCT(('Σύνοψη'!$F$2:$F289=$A131)*('Σύνοψη'!$C$2:$C289=C$3)*('Σύνοψη'!$G$2:$G289=$B131))&gt;0,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'Σύνοψη'!$C$2:$C289=C$3)), IF(SUMPRODUCT(('Σύνοψη'!$F$2:$F289=$A131)*('Σύνοψη'!$C$2:$C289=C$3)*('Σύνοψη'!$G$2:$G289&lt;$B131)*('Σύνοψη'!$H$2:$H289&gt;$B131))&gt;0, CHAR(34), """") ), """")"),"")</f>
        <v/>
      </c>
      <c r="D131" s="67" t="str">
        <f ca="1">IFERROR(__xludf.DUMMYFUNCTION("IFERROR(IF(SUMPRODUCT(('Σύνοψη'!$F$2:$F289=$A131)*('Σύνοψη'!$C$2:$C289=D$3)*('Σύνοψη'!$G$2:$G289=$B131))&gt;0,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'Σύνοψη'!$C$2:$C289=D$3)), IF(SUMPRODUCT(('Σύνοψη'!$F$2:$F289=$A131)*('Σύνοψη'!$C$2:$C289=D$3)*('Σύνοψη'!$G$2:$G289&lt;$B131)*('Σύνοψη'!$H$2:$H289&gt;$B131))&gt;0, CHAR(34), """") ), """")"),"")</f>
        <v/>
      </c>
      <c r="E131" s="67" t="str">
        <f ca="1">IFERROR(__xludf.DUMMYFUNCTION("IFERROR(IF(SUMPRODUCT(('Σύνοψη'!$F$2:$F289=$A131)*('Σύνοψη'!$C$2:$C289=E$3)*('Σύνοψη'!$G$2:$G289=$B131))&gt;0,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'Σύνοψη'!$C$2:$C289=E$3)), IF(SUMPRODUCT(('Σύνοψη'!$F$2:$F289=$A131)*('Σύνοψη'!$C$2:$C289=E$3)*('Σύνοψη'!$G$2:$G289&lt;$B131)*('Σύνοψη'!$H$2:$H289&gt;$B131))&gt;0, CHAR(34), """") ), """")"),"")</f>
        <v/>
      </c>
      <c r="F131" s="67" t="str">
        <f ca="1">IFERROR(__xludf.DUMMYFUNCTION("IFERROR(IF(SUMPRODUCT(('Σύνοψη'!$F$2:$F289=$A131)*('Σύνοψη'!$C$2:$C289=F$3)*('Σύνοψη'!$G$2:$G289=$B131))&gt;0,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'Σύνοψη'!$C$2:$C289=F$3)), IF(SUMPRODUCT(('Σύνοψη'!$F$2:$F289=$A131)*('Σύνοψη'!$C$2:$C289=F$3)*('Σύνοψη'!$G$2:$G289&lt;$B131)*('Σύνοψη'!$H$2:$H289&gt;$B131))&gt;0, CHAR(34), """") ), """")"),"")</f>
        <v/>
      </c>
      <c r="G131" s="67" t="str">
        <f ca="1">IFERROR(__xludf.DUMMYFUNCTION("IFERROR(IF(SUMPRODUCT(('Σύνοψη'!$F$2:$F289=$A131)*('Σύνοψη'!$C$2:$C289=G$3)*('Σύνοψη'!$G$2:$G289=$B131))&gt;0,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'Σύνοψη'!$C$2:$C289=G$3)), IF(SUMPRODUCT(('Σύνοψη'!$F$2:$F289=$A131)*('Σύνοψη'!$C$2:$C289=G$3)*('Σύνοψη'!$G$2:$G289&lt;$B131)*('Σύνοψη'!$H$2:$H289&gt;$B131))&gt;0, CHAR(34), """") ), """")"),"")</f>
        <v/>
      </c>
      <c r="H131" s="67" t="str">
        <f ca="1">IFERROR(__xludf.DUMMYFUNCTION("IFERROR(IF(SUMPRODUCT(('Σύνοψη'!$F$2:$F289=$A131)*('Σύνοψη'!$C$2:$C289=H$3)*('Σύνοψη'!$G$2:$G289=$B131))&gt;0, TEXTJOIN(CHAR(10) &amp; ""-----------------------"" &amp; CHAR(10), TRUE, FILTER('Σύνοψη'!$E$2:$E289 &amp; "" - "" &amp; 'Σύνοψη'!$I$2:$I289 &amp; "" ("" &amp; 'Σύνοψη'!$J"&amp;"$2:$J289 &amp; "")"", 'Σύνοψη'!$F$2:$F289=$A131, 'Σύνοψη'!$G$2:$G289=$B131, 'Σύνοψη'!$C$2:$C289=H$3)), IF(SUMPRODUCT(('Σύνοψη'!$F$2:$F289=$A131)*('Σύνοψη'!$C$2:$C289=H$3)*('Σύνοψη'!$G$2:$G289&lt;$B131)*('Σύνοψη'!$H$2:$H289&gt;$B131))&gt;0, CHAR(34), """") ), """")"),"")</f>
        <v/>
      </c>
      <c r="I131" s="3"/>
    </row>
    <row r="132" spans="1:9" s="100" customFormat="1" x14ac:dyDescent="0.25">
      <c r="A132" s="93">
        <f>$D$1+11</f>
        <v>46276</v>
      </c>
      <c r="B132" s="94">
        <v>0.33333333333333331</v>
      </c>
      <c r="C132" s="66" t="str">
        <f ca="1">IFERROR(__xludf.DUMMYFUNCTION("IFERROR(IF(SUMPRODUCT(('Σύνοψη'!$F$2:$F289=$A132)*('Σύνοψη'!$C$2:$C289=C$3)*('Σύνοψη'!$G$2:$G289=$B132))&gt;0,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'Σύνοψη'!$C$2:$C289=C$3)), IF(SUMPRODUCT(('Σύνοψη'!$F$2:$F289=$A132)*('Σύνοψη'!$C$2:$C289=C$3)*('Σύνοψη'!$G$2:$G289&lt;$B132)*('Σύνοψη'!$H$2:$H289&gt;$B132))&gt;0, CHAR(34), """") ), """")"),"")</f>
        <v/>
      </c>
      <c r="D132" s="66" t="str">
        <f ca="1">IFERROR(__xludf.DUMMYFUNCTION("IFERROR(IF(SUMPRODUCT(('Σύνοψη'!$F$2:$F289=$A132)*('Σύνοψη'!$C$2:$C289=D$3)*('Σύνοψη'!$G$2:$G289=$B132))&gt;0,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'Σύνοψη'!$C$2:$C289=D$3)), IF(SUMPRODUCT(('Σύνοψη'!$F$2:$F289=$A132)*('Σύνοψη'!$C$2:$C289=D$3)*('Σύνοψη'!$G$2:$G289&lt;$B132)*('Σύνοψη'!$H$2:$H289&gt;$B132))&gt;0, CHAR(34), """") ), """")"),"")</f>
        <v/>
      </c>
      <c r="E132" s="66" t="str">
        <f ca="1">IFERROR(__xludf.DUMMYFUNCTION("IFERROR(IF(SUMPRODUCT(('Σύνοψη'!$F$2:$F289=$A132)*('Σύνοψη'!$C$2:$C289=E$3)*('Σύνοψη'!$G$2:$G289=$B132))&gt;0,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'Σύνοψη'!$C$2:$C289=E$3)), IF(SUMPRODUCT(('Σύνοψη'!$F$2:$F289=$A132)*('Σύνοψη'!$C$2:$C289=E$3)*('Σύνοψη'!$G$2:$G289&lt;$B132)*('Σύνοψη'!$H$2:$H289&gt;$B132))&gt;0, CHAR(34), """") ), """")"),"")</f>
        <v/>
      </c>
      <c r="F132" s="66" t="str">
        <f ca="1">IFERROR(__xludf.DUMMYFUNCTION("IFERROR(IF(SUMPRODUCT(('Σύνοψη'!$F$2:$F289=$A132)*('Σύνοψη'!$C$2:$C289=F$3)*('Σύνοψη'!$G$2:$G289=$B132))&gt;0,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'Σύνοψη'!$C$2:$C289=F$3)), IF(SUMPRODUCT(('Σύνοψη'!$F$2:$F289=$A132)*('Σύνοψη'!$C$2:$C289=F$3)*('Σύνοψη'!$G$2:$G289&lt;$B132)*('Σύνοψη'!$H$2:$H289&gt;$B132))&gt;0, CHAR(34), """") ), """")"),"")</f>
        <v/>
      </c>
      <c r="G132" s="66" t="str">
        <f ca="1">IFERROR(__xludf.DUMMYFUNCTION("IFERROR(IF(SUMPRODUCT(('Σύνοψη'!$F$2:$F289=$A132)*('Σύνοψη'!$C$2:$C289=G$3)*('Σύνοψη'!$G$2:$G289=$B132))&gt;0,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'Σύνοψη'!$C$2:$C289=G$3)), IF(SUMPRODUCT(('Σύνοψη'!$F$2:$F289=$A132)*('Σύνοψη'!$C$2:$C289=G$3)*('Σύνοψη'!$G$2:$G289&lt;$B132)*('Σύνοψη'!$H$2:$H289&gt;$B132))&gt;0, CHAR(34), """") ), """")"),"")</f>
        <v/>
      </c>
      <c r="H132" s="66" t="str">
        <f ca="1">IFERROR(__xludf.DUMMYFUNCTION("IFERROR(IF(SUMPRODUCT(('Σύνοψη'!$F$2:$F289=$A132)*('Σύνοψη'!$C$2:$C289=H$3)*('Σύνοψη'!$G$2:$G289=$B132))&gt;0, TEXTJOIN(CHAR(10) &amp; ""-----------------------"" &amp; CHAR(10), TRUE, FILTER('Σύνοψη'!$E$2:$E289 &amp; "" - "" &amp; 'Σύνοψη'!$I$2:$I289 &amp; "" ("" &amp; 'Σύνοψη'!$J"&amp;"$2:$J289 &amp; "")"", 'Σύνοψη'!$F$2:$F289=$A132, 'Σύνοψη'!$G$2:$G289=$B132, 'Σύνοψη'!$C$2:$C289=H$3)), IF(SUMPRODUCT(('Σύνοψη'!$F$2:$F289=$A132)*('Σύνοψη'!$C$2:$C289=H$3)*('Σύνοψη'!$G$2:$G289&lt;$B132)*('Σύνοψη'!$H$2:$H289&gt;$B132))&gt;0, CHAR(34), """") ), """")"),"")</f>
        <v/>
      </c>
      <c r="I132" s="3"/>
    </row>
    <row r="133" spans="1:9" s="100" customFormat="1" ht="75" x14ac:dyDescent="0.25">
      <c r="A133" s="95">
        <f t="shared" ref="A133:A145" si="9">$A$132</f>
        <v>46276</v>
      </c>
      <c r="B133" s="89">
        <v>0.375</v>
      </c>
      <c r="C133" s="67" t="str">
        <f ca="1">IFERROR(__xludf.DUMMYFUNCTION("IFERROR(IF(SUMPRODUCT(('Σύνοψη'!$F$2:$F289=$A133)*('Σύνοψη'!$C$2:$C289=C$3)*('Σύνοψη'!$G$2:$G289=$B133))&gt;0, TEXTJOIN(CHAR(10) &amp; ""-----------------------"" &amp; CHAR(10), TRUE, FILTER('Σύνοψη'!$E$2:$E289 &amp; "" - "" &amp; 'Σύνοψη'!$I$2:$I289 &amp; "" ("" &amp; 'Σύνοψη'!$J"&amp;"$2:$J289 &amp; "")"", 'Σύνοψη'!$F$2:$F289=$A133, 'Σύνοψη'!$G$2:$G289=$B133, 'Σύνοψη'!$C$2:$C289=C$3)), IF(SUMPRODUCT(('Σύνοψη'!$F$2:$F289=$A133)*('Σύνοψη'!$C$2:$C289=C$3)*('Σύνοψη'!$G$2:$G289&lt;$B133)*('Σύνοψη'!$H$2:$H289&gt;$B133))&gt;0, CHAR(34), """") ), """")"),"Βιοστατιστική - 09:00 - 12:00 (Αμφιθέατρα)")</f>
        <v>Βιοστατιστική - 09:00 - 12:00 (Αμφιθέατρα)</v>
      </c>
      <c r="D133" s="67" t="str">
        <f ca="1">IFERROR(__xludf.DUMMYFUNCTION("IFERROR(IF(SUMPRODUCT(('Σύνοψη'!$F$2:$F289=$A133)*('Σύνοψη'!$C$2:$C289=D$3)*('Σύνοψη'!$G$2:$G289=$B133))&gt;0, TEXTJOIN(CHAR(10) &amp; ""-----------------------"" &amp; CHAR(10), TRUE, FILTER('Σύνοψη'!$E$2:$E289 &amp; "" - "" &amp; 'Σύνοψη'!$I$2:$I289 &amp; "" ("" &amp; 'Σύνοψη'!$J"&amp;"$2:$J289 &amp; "")"", 'Σύνοψη'!$F$2:$F289=$A133, 'Σύνοψη'!$G$2:$G289=$B133, 'Σύνοψη'!$C$2:$C289=D$3)), IF(SUMPRODUCT(('Σύνοψη'!$F$2:$F289=$A133)*('Σύνοψη'!$C$2:$C289=D$3)*('Σύνοψη'!$G$2:$G289&lt;$B133)*('Σύνοψη'!$H$2:$H289&gt;$B133))&gt;0, CHAR(34), """") ), """")"),"Βιοστατιστική - 09:00 - 12:00 (Αμφιθέατρα)")</f>
        <v>Βιοστατιστική - 09:00 - 12:00 (Αμφιθέατρα)</v>
      </c>
      <c r="E133" s="67" t="str">
        <f ca="1">IFERROR(__xludf.DUMMYFUNCTION("IFERROR(IF(SUMPRODUCT(('Σύνοψη'!$F$2:$F289=$A133)*('Σύνοψη'!$C$2:$C289=E$3)*('Σύνοψη'!$G$2:$G289=$B133))&gt;0, TEXTJOIN(CHAR(10) &amp; ""-----------------------"" &amp; CHAR(10), TRUE, FILTER('Σύνοψη'!$E$2:$E289 &amp; "" - "" &amp; 'Σύνοψη'!$I$2:$I289 &amp; "" ("" &amp; 'Σύνοψη'!$J"&amp;"$2:$J289 &amp; "")"", 'Σύνοψη'!$F$2:$F289=$A133, 'Σύνοψη'!$G$2:$G289=$B133, 'Σύνοψη'!$C$2:$C289=E$3)), IF(SUMPRODUCT(('Σύνοψη'!$F$2:$F289=$A133)*('Σύνοψη'!$C$2:$C289=E$3)*('Σύνοψη'!$G$2:$G289&lt;$B133)*('Σύνοψη'!$H$2:$H289&gt;$B133))&gt;0, CHAR(34), """") ), """")"),"")</f>
        <v/>
      </c>
      <c r="F133" s="67" t="str">
        <f ca="1">IFERROR(__xludf.DUMMYFUNCTION("IFERROR(IF(SUMPRODUCT(('Σύνοψη'!$F$2:$F289=$A133)*('Σύνοψη'!$C$2:$C289=F$3)*('Σύνοψη'!$G$2:$G289=$B133))&gt;0, TEXTJOIN(CHAR(10) &amp; ""-----------------------"" &amp; CHAR(10), TRUE, FILTER('Σύνοψη'!$E$2:$E289 &amp; "" - "" &amp; 'Σύνοψη'!$I$2:$I289 &amp; "" ("" &amp; 'Σύνοψη'!$J"&amp;"$2:$J289 &amp; "")"", 'Σύνοψη'!$F$2:$F289=$A133, 'Σύνοψη'!$G$2:$G289=$B133, 'Σύνοψη'!$C$2:$C289=F$3)), IF(SUMPRODUCT(('Σύνοψη'!$F$2:$F289=$A133)*('Σύνοψη'!$C$2:$C289=F$3)*('Σύνοψη'!$G$2:$G289&lt;$B133)*('Σύνοψη'!$H$2:$H289&gt;$B133))&gt;0, CHAR(34), """") ), """")"),"")</f>
        <v/>
      </c>
      <c r="G133" s="67" t="str">
        <f ca="1">IFERROR(__xludf.DUMMYFUNCTION("IFERROR(IF(SUMPRODUCT(('Σύνοψη'!$F$2:$F289=$A133)*('Σύνοψη'!$C$2:$C289=G$3)*('Σύνοψη'!$G$2:$G289=$B133))&gt;0, TEXTJOIN(CHAR(10) &amp; ""-----------------------"" &amp; CHAR(10), TRUE, FILTER('Σύνοψη'!$E$2:$E289 &amp; "" - "" &amp; 'Σύνοψη'!$I$2:$I289 &amp; "" ("" &amp; 'Σύνοψη'!$J"&amp;"$2:$J289 &amp; "")"", 'Σύνοψη'!$F$2:$F289=$A133, 'Σύνοψη'!$G$2:$G289=$B133, 'Σύνοψη'!$C$2:$C289=G$3)), IF(SUMPRODUCT(('Σύνοψη'!$F$2:$F289=$A133)*('Σύνοψη'!$C$2:$C289=G$3)*('Σύνοψη'!$G$2:$G289&lt;$B133)*('Σύνοψη'!$H$2:$H289&gt;$B133))&gt;0, CHAR(34), """") ), """")"),"Πρακτική Άσκηση στην Αναισθησιολογία, τη Χειρουργική &amp; την Απεικονιστική Διαγνωστική Ι (Γραπτά) - 09:00 - 11:00 (Νέες Αίθουσες)")</f>
        <v>Πρακτική Άσκηση στην Αναισθησιολογία, τη Χειρουργική &amp; την Απεικονιστική Διαγνωστική Ι (Γραπτά) - 09:00 - 11:00 (Νέες Αίθουσες)</v>
      </c>
      <c r="H133" s="106" t="s">
        <v>281</v>
      </c>
      <c r="I133" s="3"/>
    </row>
    <row r="134" spans="1:9" s="100" customFormat="1" x14ac:dyDescent="0.25">
      <c r="A134" s="95">
        <f t="shared" si="9"/>
        <v>46276</v>
      </c>
      <c r="B134" s="89">
        <v>0.41666666666666669</v>
      </c>
      <c r="C134" s="67" t="str">
        <f ca="1">IFERROR(__xludf.DUMMYFUNCTION("IFERROR(IF(SUMPRODUCT(('Σύνοψη'!$F$2:$F289=$A134)*('Σύνοψη'!$C$2:$C289=C$3)*('Σύνοψη'!$G$2:$G289=$B134))&gt;0,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'Σύνοψη'!$C$2:$C289=C$3)), IF(SUMPRODUCT(('Σύνοψη'!$F$2:$F289=$A134)*('Σύνοψη'!$C$2:$C289=C$3)*('Σύνοψη'!$G$2:$G289&lt;$B134)*('Σύνοψη'!$H$2:$H289&gt;$B134))&gt;0, CHAR(34), """") ), """")"),"""")</f>
        <v>"</v>
      </c>
      <c r="D134" s="67" t="str">
        <f ca="1">IFERROR(__xludf.DUMMYFUNCTION("IFERROR(IF(SUMPRODUCT(('Σύνοψη'!$F$2:$F289=$A134)*('Σύνοψη'!$C$2:$C289=D$3)*('Σύνοψη'!$G$2:$G289=$B134))&gt;0,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'Σύνοψη'!$C$2:$C289=D$3)), IF(SUMPRODUCT(('Σύνοψη'!$F$2:$F289=$A134)*('Σύνοψη'!$C$2:$C289=D$3)*('Σύνοψη'!$G$2:$G289&lt;$B134)*('Σύνοψη'!$H$2:$H289&gt;$B134))&gt;0, CHAR(34), """") ), """")"),"""")</f>
        <v>"</v>
      </c>
      <c r="E134" s="67" t="str">
        <f ca="1">IFERROR(__xludf.DUMMYFUNCTION("IFERROR(IF(SUMPRODUCT(('Σύνοψη'!$F$2:$F289=$A134)*('Σύνοψη'!$C$2:$C289=E$3)*('Σύνοψη'!$G$2:$G289=$B134))&gt;0,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'Σύνοψη'!$C$2:$C289=E$3)), IF(SUMPRODUCT(('Σύνοψη'!$F$2:$F289=$A134)*('Σύνοψη'!$C$2:$C289=E$3)*('Σύνοψη'!$G$2:$G289&lt;$B134)*('Σύνοψη'!$H$2:$H289&gt;$B134))&gt;0, CHAR(34), """") ), """")"),"")</f>
        <v/>
      </c>
      <c r="F134" s="67" t="str">
        <f ca="1">IFERROR(__xludf.DUMMYFUNCTION("IFERROR(IF(SUMPRODUCT(('Σύνοψη'!$F$2:$F289=$A134)*('Σύνοψη'!$C$2:$C289=F$3)*('Σύνοψη'!$G$2:$G289=$B134))&gt;0,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'Σύνοψη'!$C$2:$C289=F$3)), IF(SUMPRODUCT(('Σύνοψη'!$F$2:$F289=$A134)*('Σύνοψη'!$C$2:$C289=F$3)*('Σύνοψη'!$G$2:$G289&lt;$B134)*('Σύνοψη'!$H$2:$H289&gt;$B134))&gt;0, CHAR(34), """") ), """")"),"")</f>
        <v/>
      </c>
      <c r="G134" s="67" t="str">
        <f ca="1">IFERROR(__xludf.DUMMYFUNCTION("IFERROR(IF(SUMPRODUCT(('Σύνοψη'!$F$2:$F289=$A134)*('Σύνοψη'!$C$2:$C289=G$3)*('Σύνοψη'!$G$2:$G289=$B134))&gt;0,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'Σύνοψη'!$C$2:$C289=G$3)), IF(SUMPRODUCT(('Σύνοψη'!$F$2:$F289=$A134)*('Σύνοψη'!$C$2:$C289=G$3)*('Σύνοψη'!$G$2:$G289&lt;$B134)*('Σύνοψη'!$H$2:$H289&gt;$B134))&gt;0, CHAR(34), """") ), """")"),"""")</f>
        <v>"</v>
      </c>
      <c r="H134" s="67" t="str">
        <f ca="1">IFERROR(__xludf.DUMMYFUNCTION("IFERROR(IF(SUMPRODUCT(('Σύνοψη'!$F$2:$F289=$A134)*('Σύνοψη'!$C$2:$C289=H$3)*('Σύνοψη'!$G$2:$G289=$B134))&gt;0, TEXTJOIN(CHAR(10) &amp; ""-----------------------"" &amp; CHAR(10), TRUE, FILTER('Σύνοψη'!$E$2:$E289 &amp; "" - "" &amp; 'Σύνοψη'!$I$2:$I289 &amp; "" ("" &amp; 'Σύνοψη'!$J"&amp;"$2:$J289 &amp; "")"", 'Σύνοψη'!$F$2:$F289=$A134, 'Σύνοψη'!$G$2:$G289=$B134, 'Σύνοψη'!$C$2:$C289=H$3)), IF(SUMPRODUCT(('Σύνοψη'!$F$2:$F289=$A134)*('Σύνοψη'!$C$2:$C289=H$3)*('Σύνοψη'!$G$2:$G289&lt;$B134)*('Σύνοψη'!$H$2:$H289&gt;$B134))&gt;0, CHAR(34), """") ), """")"),"")</f>
        <v/>
      </c>
      <c r="I134" s="3"/>
    </row>
    <row r="135" spans="1:9" s="100" customFormat="1" x14ac:dyDescent="0.25">
      <c r="A135" s="95">
        <f t="shared" si="9"/>
        <v>46276</v>
      </c>
      <c r="B135" s="89">
        <v>0.45833333333333331</v>
      </c>
      <c r="C135" s="67" t="str">
        <f ca="1">IFERROR(__xludf.DUMMYFUNCTION("IFERROR(IF(SUMPRODUCT(('Σύνοψη'!$F$2:$F289=$A135)*('Σύνοψη'!$C$2:$C289=C$3)*('Σύνοψη'!$G$2:$G289=$B135))&gt;0,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'Σύνοψη'!$C$2:$C289=C$3)), IF(SUMPRODUCT(('Σύνοψη'!$F$2:$F289=$A135)*('Σύνοψη'!$C$2:$C289=C$3)*('Σύνοψη'!$G$2:$G289&lt;$B135)*('Σύνοψη'!$H$2:$H289&gt;$B135))&gt;0, CHAR(34), """") ), """")"),"""")</f>
        <v>"</v>
      </c>
      <c r="D135" s="67" t="str">
        <f ca="1">IFERROR(__xludf.DUMMYFUNCTION("IFERROR(IF(SUMPRODUCT(('Σύνοψη'!$F$2:$F289=$A135)*('Σύνοψη'!$C$2:$C289=D$3)*('Σύνοψη'!$G$2:$G289=$B135))&gt;0,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'Σύνοψη'!$C$2:$C289=D$3)), IF(SUMPRODUCT(('Σύνοψη'!$F$2:$F289=$A135)*('Σύνοψη'!$C$2:$C289=D$3)*('Σύνοψη'!$G$2:$G289&lt;$B135)*('Σύνοψη'!$H$2:$H289&gt;$B135))&gt;0, CHAR(34), """") ), """")"),"""")</f>
        <v>"</v>
      </c>
      <c r="E135" s="67" t="str">
        <f ca="1">IFERROR(__xludf.DUMMYFUNCTION("IFERROR(IF(SUMPRODUCT(('Σύνοψη'!$F$2:$F289=$A135)*('Σύνοψη'!$C$2:$C289=E$3)*('Σύνοψη'!$G$2:$G289=$B135))&gt;0,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'Σύνοψη'!$C$2:$C289=E$3)), IF(SUMPRODUCT(('Σύνοψη'!$F$2:$F289=$A135)*('Σύνοψη'!$C$2:$C289=E$3)*('Σύνοψη'!$G$2:$G289&lt;$B135)*('Σύνοψη'!$H$2:$H289&gt;$B135))&gt;0, CHAR(34), """") ), """")"),"")</f>
        <v/>
      </c>
      <c r="F135" s="67" t="str">
        <f ca="1">IFERROR(__xludf.DUMMYFUNCTION("IFERROR(IF(SUMPRODUCT(('Σύνοψη'!$F$2:$F289=$A135)*('Σύνοψη'!$C$2:$C289=F$3)*('Σύνοψη'!$G$2:$G289=$B135))&gt;0,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'Σύνοψη'!$C$2:$C289=F$3)), IF(SUMPRODUCT(('Σύνοψη'!$F$2:$F289=$A135)*('Σύνοψη'!$C$2:$C289=F$3)*('Σύνοψη'!$G$2:$G289&lt;$B135)*('Σύνοψη'!$H$2:$H289&gt;$B135))&gt;0, CHAR(34), """") ), """")"),"")</f>
        <v/>
      </c>
      <c r="G135" s="67" t="str">
        <f ca="1">IFERROR(__xludf.DUMMYFUNCTION("IFERROR(IF(SUMPRODUCT(('Σύνοψη'!$F$2:$F289=$A135)*('Σύνοψη'!$C$2:$C289=G$3)*('Σύνοψη'!$G$2:$G289=$B135))&gt;0,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'Σύνοψη'!$C$2:$C289=G$3)), IF(SUMPRODUCT(('Σύνοψη'!$F$2:$F289=$A135)*('Σύνοψη'!$C$2:$C289=G$3)*('Σύνοψη'!$G$2:$G289&lt;$B135)*('Σύνοψη'!$H$2:$H289&gt;$B135))&gt;0, CHAR(34), """") ), """")"),"")</f>
        <v/>
      </c>
      <c r="H135" s="67" t="str">
        <f ca="1">IFERROR(__xludf.DUMMYFUNCTION("IFERROR(IF(SUMPRODUCT(('Σύνοψη'!$F$2:$F289=$A135)*('Σύνοψη'!$C$2:$C289=H$3)*('Σύνοψη'!$G$2:$G289=$B135))&gt;0, TEXTJOIN(CHAR(10) &amp; ""-----------------------"" &amp; CHAR(10), TRUE, FILTER('Σύνοψη'!$E$2:$E289 &amp; "" - "" &amp; 'Σύνοψη'!$I$2:$I289 &amp; "" ("" &amp; 'Σύνοψη'!$J"&amp;"$2:$J289 &amp; "")"", 'Σύνοψη'!$F$2:$F289=$A135, 'Σύνοψη'!$G$2:$G289=$B135, 'Σύνοψη'!$C$2:$C289=H$3)), IF(SUMPRODUCT(('Σύνοψη'!$F$2:$F289=$A135)*('Σύνοψη'!$C$2:$C289=H$3)*('Σύνοψη'!$G$2:$G289&lt;$B135)*('Σύνοψη'!$H$2:$H289&gt;$B135))&gt;0, CHAR(34), """") ), """")"),"")</f>
        <v/>
      </c>
      <c r="I135" s="3"/>
    </row>
    <row r="136" spans="1:9" s="100" customFormat="1" ht="45" x14ac:dyDescent="0.25">
      <c r="A136" s="95">
        <f t="shared" si="9"/>
        <v>46276</v>
      </c>
      <c r="B136" s="89">
        <v>0.5</v>
      </c>
      <c r="C136" s="67" t="str">
        <f ca="1">IFERROR(__xludf.DUMMYFUNCTION("IFERROR(IF(SUMPRODUCT(('Σύνοψη'!$F$2:$F289=$A136)*('Σύνοψη'!$C$2:$C289=C$3)*('Σύνοψη'!$G$2:$G289=$B136))&gt;0,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'Σύνοψη'!$C$2:$C289=C$3)), IF(SUMPRODUCT(('Σύνοψη'!$F$2:$F289=$A136)*('Σύνοψη'!$C$2:$C289=C$3)*('Σύνοψη'!$G$2:$G289&lt;$B136)*('Σύνοψη'!$H$2:$H289&gt;$B136))&gt;0, CHAR(34), """") ), """")"),"")</f>
        <v/>
      </c>
      <c r="D136" s="67" t="str">
        <f ca="1">IFERROR(__xludf.DUMMYFUNCTION("IFERROR(IF(SUMPRODUCT(('Σύνοψη'!$F$2:$F289=$A136)*('Σύνοψη'!$C$2:$C289=D$3)*('Σύνοψη'!$G$2:$G289=$B136))&gt;0,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'Σύνοψη'!$C$2:$C289=D$3)), IF(SUMPRODUCT(('Σύνοψη'!$F$2:$F289=$A136)*('Σύνοψη'!$C$2:$C289=D$3)*('Σύνοψη'!$G$2:$G289&lt;$B136)*('Σύνοψη'!$H$2:$H289&gt;$B136))&gt;0, CHAR(34), """") ), """")"),"Παρασιτολογία &amp; Παρασιτικά Νοσήματα Ι (Θεωρία) - 12:00 - 15:00 (Αμφιθέατρα)")</f>
        <v>Παρασιτολογία &amp; Παρασιτικά Νοσήματα Ι (Θεωρία) - 12:00 - 15:00 (Αμφιθέατρα)</v>
      </c>
      <c r="E136" s="67" t="str">
        <f ca="1">IFERROR(__xludf.DUMMYFUNCTION("IFERROR(IF(SUMPRODUCT(('Σύνοψη'!$F$2:$F289=$A136)*('Σύνοψη'!$C$2:$C289=E$3)*('Σύνοψη'!$G$2:$G289=$B136))&gt;0,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'Σύνοψη'!$C$2:$C289=E$3)), IF(SUMPRODUCT(('Σύνοψη'!$F$2:$F289=$A136)*('Σύνοψη'!$C$2:$C289=E$3)*('Σύνοψη'!$G$2:$G289&lt;$B136)*('Σύνοψη'!$H$2:$H289&gt;$B136))&gt;0, CHAR(34), """") ), """")"),"")</f>
        <v/>
      </c>
      <c r="F136" s="67" t="str">
        <f ca="1">IFERROR(__xludf.DUMMYFUNCTION("IFERROR(IF(SUMPRODUCT(('Σύνοψη'!$F$2:$F289=$A136)*('Σύνοψη'!$C$2:$C289=F$3)*('Σύνοψη'!$G$2:$G289=$B136))&gt;0,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'Σύνοψη'!$C$2:$C289=F$3)), IF(SUMPRODUCT(('Σύνοψη'!$F$2:$F289=$A136)*('Σύνοψη'!$C$2:$C289=F$3)*('Σύνοψη'!$G$2:$G289&lt;$B136)*('Σύνοψη'!$H$2:$H289&gt;$B136))&gt;0, CHAR(34), """") ), """")"),"")</f>
        <v/>
      </c>
      <c r="G136" s="67" t="str">
        <f ca="1">IFERROR(__xludf.DUMMYFUNCTION("IFERROR(IF(SUMPRODUCT(('Σύνοψη'!$F$2:$F289=$A136)*('Σύνοψη'!$C$2:$C289=G$3)*('Σύνοψη'!$G$2:$G289=$B136))&gt;0,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'Σύνοψη'!$C$2:$C289=G$3)), IF(SUMPRODUCT(('Σύνοψη'!$F$2:$F289=$A136)*('Σύνοψη'!$C$2:$C289=G$3)*('Σύνοψη'!$G$2:$G289&lt;$B136)*('Σύνοψη'!$H$2:$H289&gt;$B136))&gt;0, CHAR(34), """") ), """")"),"")</f>
        <v/>
      </c>
      <c r="H136" s="67" t="str">
        <f ca="1">IFERROR(__xludf.DUMMYFUNCTION("IFERROR(IF(SUMPRODUCT(('Σύνοψη'!$F$2:$F289=$A136)*('Σύνοψη'!$C$2:$C289=H$3)*('Σύνοψη'!$G$2:$G289=$B136))&gt;0, TEXTJOIN(CHAR(10) &amp; ""-----------------------"" &amp; CHAR(10), TRUE, FILTER('Σύνοψη'!$E$2:$E289 &amp; "" - "" &amp; 'Σύνοψη'!$I$2:$I289 &amp; "" ("" &amp; 'Σύνοψη'!$J"&amp;"$2:$J289 &amp; "")"", 'Σύνοψη'!$F$2:$F289=$A136, 'Σύνοψη'!$G$2:$G289=$B136, 'Σύνοψη'!$C$2:$C289=H$3)), IF(SUMPRODUCT(('Σύνοψη'!$F$2:$F289=$A136)*('Σύνοψη'!$C$2:$C289=H$3)*('Σύνοψη'!$G$2:$G289&lt;$B136)*('Σύνοψη'!$H$2:$H289&gt;$B136))&gt;0, CHAR(34), """") ), """")"),"")</f>
        <v/>
      </c>
      <c r="I136" s="3"/>
    </row>
    <row r="137" spans="1:9" s="100" customFormat="1" x14ac:dyDescent="0.25">
      <c r="A137" s="95">
        <f t="shared" si="9"/>
        <v>46276</v>
      </c>
      <c r="B137" s="89">
        <v>0.54166666666666663</v>
      </c>
      <c r="C137" s="67" t="str">
        <f ca="1">IFERROR(__xludf.DUMMYFUNCTION("IFERROR(IF(SUMPRODUCT(('Σύνοψη'!$F$2:$F289=$A137)*('Σύνοψη'!$C$2:$C289=C$3)*('Σύνοψη'!$G$2:$G289=$B137))&gt;0,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'Σύνοψη'!$C$2:$C289=C$3)), IF(SUMPRODUCT(('Σύνοψη'!$F$2:$F289=$A137)*('Σύνοψη'!$C$2:$C289=C$3)*('Σύνοψη'!$G$2:$G289&lt;$B137)*('Σύνοψη'!$H$2:$H289&gt;$B137))&gt;0, CHAR(34), """") ), """")"),"")</f>
        <v/>
      </c>
      <c r="D137" s="67" t="str">
        <f ca="1">IFERROR(__xludf.DUMMYFUNCTION("IFERROR(IF(SUMPRODUCT(('Σύνοψη'!$F$2:$F289=$A137)*('Σύνοψη'!$C$2:$C289=D$3)*('Σύνοψη'!$G$2:$G289=$B137))&gt;0,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'Σύνοψη'!$C$2:$C289=D$3)), IF(SUMPRODUCT(('Σύνοψη'!$F$2:$F289=$A137)*('Σύνοψη'!$C$2:$C289=D$3)*('Σύνοψη'!$G$2:$G289&lt;$B137)*('Σύνοψη'!$H$2:$H289&gt;$B137))&gt;0, CHAR(34), """") ), """")"),"""")</f>
        <v>"</v>
      </c>
      <c r="E137" s="67" t="str">
        <f ca="1">IFERROR(__xludf.DUMMYFUNCTION("IFERROR(IF(SUMPRODUCT(('Σύνοψη'!$F$2:$F289=$A137)*('Σύνοψη'!$C$2:$C289=E$3)*('Σύνοψη'!$G$2:$G289=$B137))&gt;0,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'Σύνοψη'!$C$2:$C289=E$3)), IF(SUMPRODUCT(('Σύνοψη'!$F$2:$F289=$A137)*('Σύνοψη'!$C$2:$C289=E$3)*('Σύνοψη'!$G$2:$G289&lt;$B137)*('Σύνοψη'!$H$2:$H289&gt;$B137))&gt;0, CHAR(34), """") ), """")"),"")</f>
        <v/>
      </c>
      <c r="F137" s="67" t="str">
        <f ca="1">IFERROR(__xludf.DUMMYFUNCTION("IFERROR(IF(SUMPRODUCT(('Σύνοψη'!$F$2:$F289=$A137)*('Σύνοψη'!$C$2:$C289=F$3)*('Σύνοψη'!$G$2:$G289=$B137))&gt;0,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'Σύνοψη'!$C$2:$C289=F$3)), IF(SUMPRODUCT(('Σύνοψη'!$F$2:$F289=$A137)*('Σύνοψη'!$C$2:$C289=F$3)*('Σύνοψη'!$G$2:$G289&lt;$B137)*('Σύνοψη'!$H$2:$H289&gt;$B137))&gt;0, CHAR(34), """") ), """")"),"")</f>
        <v/>
      </c>
      <c r="G137" s="67" t="str">
        <f ca="1">IFERROR(__xludf.DUMMYFUNCTION("IFERROR(IF(SUMPRODUCT(('Σύνοψη'!$F$2:$F289=$A137)*('Σύνοψη'!$C$2:$C289=G$3)*('Σύνοψη'!$G$2:$G289=$B137))&gt;0,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'Σύνοψη'!$C$2:$C289=G$3)), IF(SUMPRODUCT(('Σύνοψη'!$F$2:$F289=$A137)*('Σύνοψη'!$C$2:$C289=G$3)*('Σύνοψη'!$G$2:$G289&lt;$B137)*('Σύνοψη'!$H$2:$H289&gt;$B137))&gt;0, CHAR(34), """") ), """")"),"")</f>
        <v/>
      </c>
      <c r="H137" s="67" t="str">
        <f ca="1">IFERROR(__xludf.DUMMYFUNCTION("IFERROR(IF(SUMPRODUCT(('Σύνοψη'!$F$2:$F289=$A137)*('Σύνοψη'!$C$2:$C289=H$3)*('Σύνοψη'!$G$2:$G289=$B137))&gt;0, TEXTJOIN(CHAR(10) &amp; ""-----------------------"" &amp; CHAR(10), TRUE, FILTER('Σύνοψη'!$E$2:$E289 &amp; "" - "" &amp; 'Σύνοψη'!$I$2:$I289 &amp; "" ("" &amp; 'Σύνοψη'!$J"&amp;"$2:$J289 &amp; "")"", 'Σύνοψη'!$F$2:$F289=$A137, 'Σύνοψη'!$G$2:$G289=$B137, 'Σύνοψη'!$C$2:$C289=H$3)), IF(SUMPRODUCT(('Σύνοψη'!$F$2:$F289=$A137)*('Σύνοψη'!$C$2:$C289=H$3)*('Σύνοψη'!$G$2:$G289&lt;$B137)*('Σύνοψη'!$H$2:$H289&gt;$B137))&gt;0, CHAR(34), """") ), """")"),"")</f>
        <v/>
      </c>
      <c r="I137" s="3"/>
    </row>
    <row r="138" spans="1:9" s="100" customFormat="1" x14ac:dyDescent="0.25">
      <c r="A138" s="95">
        <f t="shared" si="9"/>
        <v>46276</v>
      </c>
      <c r="B138" s="89">
        <v>0.58333333333333337</v>
      </c>
      <c r="C138" s="67" t="str">
        <f ca="1">IFERROR(__xludf.DUMMYFUNCTION("IFERROR(IF(SUMPRODUCT(('Σύνοψη'!$F$2:$F289=$A138)*('Σύνοψη'!$C$2:$C289=C$3)*('Σύνοψη'!$G$2:$G289=$B138))&gt;0,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'Σύνοψη'!$C$2:$C289=C$3)), IF(SUMPRODUCT(('Σύνοψη'!$F$2:$F289=$A138)*('Σύνοψη'!$C$2:$C289=C$3)*('Σύνοψη'!$G$2:$G289&lt;$B138)*('Σύνοψη'!$H$2:$H289&gt;$B138))&gt;0, CHAR(34), """") ), """")"),"")</f>
        <v/>
      </c>
      <c r="D138" s="67" t="str">
        <f ca="1">IFERROR(__xludf.DUMMYFUNCTION("IFERROR(IF(SUMPRODUCT(('Σύνοψη'!$F$2:$F289=$A138)*('Σύνοψη'!$C$2:$C289=D$3)*('Σύνοψη'!$G$2:$G289=$B138))&gt;0,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'Σύνοψη'!$C$2:$C289=D$3)), IF(SUMPRODUCT(('Σύνοψη'!$F$2:$F289=$A138)*('Σύνοψη'!$C$2:$C289=D$3)*('Σύνοψη'!$G$2:$G289&lt;$B138)*('Σύνοψη'!$H$2:$H289&gt;$B138))&gt;0, CHAR(34), """") ), """")"),"""")</f>
        <v>"</v>
      </c>
      <c r="E138" s="67" t="str">
        <f ca="1">IFERROR(__xludf.DUMMYFUNCTION("IFERROR(IF(SUMPRODUCT(('Σύνοψη'!$F$2:$F289=$A138)*('Σύνοψη'!$C$2:$C289=E$3)*('Σύνοψη'!$G$2:$G289=$B138))&gt;0,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'Σύνοψη'!$C$2:$C289=E$3)), IF(SUMPRODUCT(('Σύνοψη'!$F$2:$F289=$A138)*('Σύνοψη'!$C$2:$C289=E$3)*('Σύνοψη'!$G$2:$G289&lt;$B138)*('Σύνοψη'!$H$2:$H289&gt;$B138))&gt;0, CHAR(34), """") ), """")"),"")</f>
        <v/>
      </c>
      <c r="F138" s="67" t="str">
        <f ca="1">IFERROR(__xludf.DUMMYFUNCTION("IFERROR(IF(SUMPRODUCT(('Σύνοψη'!$F$2:$F289=$A138)*('Σύνοψη'!$C$2:$C289=F$3)*('Σύνοψη'!$G$2:$G289=$B138))&gt;0,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'Σύνοψη'!$C$2:$C289=F$3)), IF(SUMPRODUCT(('Σύνοψη'!$F$2:$F289=$A138)*('Σύνοψη'!$C$2:$C289=F$3)*('Σύνοψη'!$G$2:$G289&lt;$B138)*('Σύνοψη'!$H$2:$H289&gt;$B138))&gt;0, CHAR(34), """") ), """")"),"")</f>
        <v/>
      </c>
      <c r="G138" s="67" t="str">
        <f ca="1">IFERROR(__xludf.DUMMYFUNCTION("IFERROR(IF(SUMPRODUCT(('Σύνοψη'!$F$2:$F289=$A138)*('Σύνοψη'!$C$2:$C289=G$3)*('Σύνοψη'!$G$2:$G289=$B138))&gt;0,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'Σύνοψη'!$C$2:$C289=G$3)), IF(SUMPRODUCT(('Σύνοψη'!$F$2:$F289=$A138)*('Σύνοψη'!$C$2:$C289=G$3)*('Σύνοψη'!$G$2:$G289&lt;$B138)*('Σύνοψη'!$H$2:$H289&gt;$B138))&gt;0, CHAR(34), """") ), """")"),"")</f>
        <v/>
      </c>
      <c r="H138" s="67" t="str">
        <f ca="1">IFERROR(__xludf.DUMMYFUNCTION("IFERROR(IF(SUMPRODUCT(('Σύνοψη'!$F$2:$F289=$A138)*('Σύνοψη'!$C$2:$C289=H$3)*('Σύνοψη'!$G$2:$G289=$B138))&gt;0, TEXTJOIN(CHAR(10) &amp; ""-----------------------"" &amp; CHAR(10), TRUE, FILTER('Σύνοψη'!$E$2:$E289 &amp; "" - "" &amp; 'Σύνοψη'!$I$2:$I289 &amp; "" ("" &amp; 'Σύνοψη'!$J"&amp;"$2:$J289 &amp; "")"", 'Σύνοψη'!$F$2:$F289=$A138, 'Σύνοψη'!$G$2:$G289=$B138, 'Σύνοψη'!$C$2:$C289=H$3)), IF(SUMPRODUCT(('Σύνοψη'!$F$2:$F289=$A138)*('Σύνοψη'!$C$2:$C289=H$3)*('Σύνοψη'!$G$2:$G289&lt;$B138)*('Σύνοψη'!$H$2:$H289&gt;$B138))&gt;0, CHAR(34), """") ), """")"),"")</f>
        <v/>
      </c>
      <c r="I138" s="3"/>
    </row>
    <row r="139" spans="1:9" s="100" customFormat="1" ht="30" x14ac:dyDescent="0.25">
      <c r="A139" s="95">
        <f t="shared" si="9"/>
        <v>46276</v>
      </c>
      <c r="B139" s="89">
        <v>0.625</v>
      </c>
      <c r="C139" s="67" t="str">
        <f ca="1">IFERROR(__xludf.DUMMYFUNCTION("IFERROR(IF(SUMPRODUCT(('Σύνοψη'!$F$2:$F289=$A139)*('Σύνοψη'!$C$2:$C289=C$3)*('Σύνοψη'!$G$2:$G289=$B139))&gt;0,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'Σύνοψη'!$C$2:$C289=C$3)), IF(SUMPRODUCT(('Σύνοψη'!$F$2:$F289=$A139)*('Σύνοψη'!$C$2:$C289=C$3)*('Σύνοψη'!$G$2:$G289&lt;$B139)*('Σύνοψη'!$H$2:$H289&gt;$B139))&gt;0, CHAR(34), """") ), """")"),"")</f>
        <v/>
      </c>
      <c r="D139" s="67" t="str">
        <f ca="1">IFERROR(__xludf.DUMMYFUNCTION("IFERROR(IF(SUMPRODUCT(('Σύνοψη'!$F$2:$F289=$A139)*('Σύνοψη'!$C$2:$C289=D$3)*('Σύνοψη'!$G$2:$G289=$B139))&gt;0,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'Σύνοψη'!$C$2:$C289=D$3)), IF(SUMPRODUCT(('Σύνοψη'!$F$2:$F289=$A139)*('Σύνοψη'!$C$2:$C289=D$3)*('Σύνοψη'!$G$2:$G289&lt;$B139)*('Σύνοψη'!$H$2:$H289&gt;$B139))&gt;0, CHAR(34), """") ), """")"),"")</f>
        <v/>
      </c>
      <c r="E139" s="67" t="str">
        <f ca="1">IFERROR(__xludf.DUMMYFUNCTION("IFERROR(IF(SUMPRODUCT(('Σύνοψη'!$F$2:$F289=$A139)*('Σύνοψη'!$C$2:$C289=E$3)*('Σύνοψη'!$G$2:$G289=$B139))&gt;0,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'Σύνοψη'!$C$2:$C289=E$3)), IF(SUMPRODUCT(('Σύνοψη'!$F$2:$F289=$A139)*('Σύνοψη'!$C$2:$C289=E$3)*('Σύνοψη'!$G$2:$G289&lt;$B139)*('Σύνοψη'!$H$2:$H289&gt;$B139))&gt;0, CHAR(34), """") ), """")"),"Παθολογία Παραγωγικών Ζώων Ι - 15:00 - 18:00 (Νέες Αίθουσες)")</f>
        <v>Παθολογία Παραγωγικών Ζώων Ι - 15:00 - 18:00 (Νέες Αίθουσες)</v>
      </c>
      <c r="F139" s="67" t="str">
        <f ca="1">IFERROR(__xludf.DUMMYFUNCTION("IFERROR(IF(SUMPRODUCT(('Σύνοψη'!$F$2:$F289=$A139)*('Σύνοψη'!$C$2:$C289=F$3)*('Σύνοψη'!$G$2:$G289=$B139))&gt;0,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'Σύνοψη'!$C$2:$C289=F$3)), IF(SUMPRODUCT(('Σύνοψη'!$F$2:$F289=$A139)*('Σύνοψη'!$C$2:$C289=F$3)*('Σύνοψη'!$G$2:$G289&lt;$B139)*('Σύνοψη'!$H$2:$H289&gt;$B139))&gt;0, CHAR(34), """") ), """")"),"")</f>
        <v/>
      </c>
      <c r="G139" s="67" t="str">
        <f ca="1">IFERROR(__xludf.DUMMYFUNCTION("IFERROR(IF(SUMPRODUCT(('Σύνοψη'!$F$2:$F289=$A139)*('Σύνοψη'!$C$2:$C289=G$3)*('Σύνοψη'!$G$2:$G289=$B139))&gt;0,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'Σύνοψη'!$C$2:$C289=G$3)), IF(SUMPRODUCT(('Σύνοψη'!$F$2:$F289=$A139)*('Σύνοψη'!$C$2:$C289=G$3)*('Σύνοψη'!$G$2:$G289&lt;$B139)*('Σύνοψη'!$H$2:$H289&gt;$B139))&gt;0, CHAR(34), """") ), """")"),"")</f>
        <v/>
      </c>
      <c r="H139" s="67" t="str">
        <f ca="1">IFERROR(__xludf.DUMMYFUNCTION("IFERROR(IF(SUMPRODUCT(('Σύνοψη'!$F$2:$F289=$A139)*('Σύνοψη'!$C$2:$C289=H$3)*('Σύνοψη'!$G$2:$G289=$B139))&gt;0, TEXTJOIN(CHAR(10) &amp; ""-----------------------"" &amp; CHAR(10), TRUE, FILTER('Σύνοψη'!$E$2:$E289 &amp; "" - "" &amp; 'Σύνοψη'!$I$2:$I289 &amp; "" ("" &amp; 'Σύνοψη'!$J"&amp;"$2:$J289 &amp; "")"", 'Σύνοψη'!$F$2:$F289=$A139, 'Σύνοψη'!$G$2:$G289=$B139, 'Σύνοψη'!$C$2:$C289=H$3)), IF(SUMPRODUCT(('Σύνοψη'!$F$2:$F289=$A139)*('Σύνοψη'!$C$2:$C289=H$3)*('Σύνοψη'!$G$2:$G289&lt;$B139)*('Σύνοψη'!$H$2:$H289&gt;$B139))&gt;0, CHAR(34), """") ), """")"),"")</f>
        <v/>
      </c>
      <c r="I139" s="3"/>
    </row>
    <row r="140" spans="1:9" s="100" customFormat="1" x14ac:dyDescent="0.25">
      <c r="A140" s="95">
        <f t="shared" si="9"/>
        <v>46276</v>
      </c>
      <c r="B140" s="89">
        <v>0.66666666666666663</v>
      </c>
      <c r="C140" s="67" t="str">
        <f ca="1">IFERROR(__xludf.DUMMYFUNCTION("IFERROR(IF(SUMPRODUCT(('Σύνοψη'!$F$2:$F289=$A140)*('Σύνοψη'!$C$2:$C289=C$3)*('Σύνοψη'!$G$2:$G289=$B140))&gt;0,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'Σύνοψη'!$C$2:$C289=C$3)), IF(SUMPRODUCT(('Σύνοψη'!$F$2:$F289=$A140)*('Σύνοψη'!$C$2:$C289=C$3)*('Σύνοψη'!$G$2:$G289&lt;$B140)*('Σύνοψη'!$H$2:$H289&gt;$B140))&gt;0, CHAR(34), """") ), """")"),"")</f>
        <v/>
      </c>
      <c r="D140" s="67" t="str">
        <f ca="1">IFERROR(__xludf.DUMMYFUNCTION("IFERROR(IF(SUMPRODUCT(('Σύνοψη'!$F$2:$F289=$A140)*('Σύνοψη'!$C$2:$C289=D$3)*('Σύνοψη'!$G$2:$G289=$B140))&gt;0,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'Σύνοψη'!$C$2:$C289=D$3)), IF(SUMPRODUCT(('Σύνοψη'!$F$2:$F289=$A140)*('Σύνοψη'!$C$2:$C289=D$3)*('Σύνοψη'!$G$2:$G289&lt;$B140)*('Σύνοψη'!$H$2:$H289&gt;$B140))&gt;0, CHAR(34), """") ), """")"),"")</f>
        <v/>
      </c>
      <c r="E140" s="67" t="str">
        <f ca="1">IFERROR(__xludf.DUMMYFUNCTION("IFERROR(IF(SUMPRODUCT(('Σύνοψη'!$F$2:$F289=$A140)*('Σύνοψη'!$C$2:$C289=E$3)*('Σύνοψη'!$G$2:$G289=$B140))&gt;0,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'Σύνοψη'!$C$2:$C289=E$3)), IF(SUMPRODUCT(('Σύνοψη'!$F$2:$F289=$A140)*('Σύνοψη'!$C$2:$C289=E$3)*('Σύνοψη'!$G$2:$G289&lt;$B140)*('Σύνοψη'!$H$2:$H289&gt;$B140))&gt;0, CHAR(34), """") ), """")"),"""")</f>
        <v>"</v>
      </c>
      <c r="F140" s="67" t="str">
        <f ca="1">IFERROR(__xludf.DUMMYFUNCTION("IFERROR(IF(SUMPRODUCT(('Σύνοψη'!$F$2:$F289=$A140)*('Σύνοψη'!$C$2:$C289=F$3)*('Σύνοψη'!$G$2:$G289=$B140))&gt;0,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'Σύνοψη'!$C$2:$C289=F$3)), IF(SUMPRODUCT(('Σύνοψη'!$F$2:$F289=$A140)*('Σύνοψη'!$C$2:$C289=F$3)*('Σύνοψη'!$G$2:$G289&lt;$B140)*('Σύνοψη'!$H$2:$H289&gt;$B140))&gt;0, CHAR(34), """") ), """")"),"")</f>
        <v/>
      </c>
      <c r="G140" s="67" t="str">
        <f ca="1">IFERROR(__xludf.DUMMYFUNCTION("IFERROR(IF(SUMPRODUCT(('Σύνοψη'!$F$2:$F289=$A140)*('Σύνοψη'!$C$2:$C289=G$3)*('Σύνοψη'!$G$2:$G289=$B140))&gt;0,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'Σύνοψη'!$C$2:$C289=G$3)), IF(SUMPRODUCT(('Σύνοψη'!$F$2:$F289=$A140)*('Σύνοψη'!$C$2:$C289=G$3)*('Σύνοψη'!$G$2:$G289&lt;$B140)*('Σύνοψη'!$H$2:$H289&gt;$B140))&gt;0, CHAR(34), """") ), """")"),"")</f>
        <v/>
      </c>
      <c r="H140" s="67" t="str">
        <f ca="1">IFERROR(__xludf.DUMMYFUNCTION("IFERROR(IF(SUMPRODUCT(('Σύνοψη'!$F$2:$F289=$A140)*('Σύνοψη'!$C$2:$C289=H$3)*('Σύνοψη'!$G$2:$G289=$B140))&gt;0, TEXTJOIN(CHAR(10) &amp; ""-----------------------"" &amp; CHAR(10), TRUE, FILTER('Σύνοψη'!$E$2:$E289 &amp; "" - "" &amp; 'Σύνοψη'!$I$2:$I289 &amp; "" ("" &amp; 'Σύνοψη'!$J"&amp;"$2:$J289 &amp; "")"", 'Σύνοψη'!$F$2:$F289=$A140, 'Σύνοψη'!$G$2:$G289=$B140, 'Σύνοψη'!$C$2:$C289=H$3)), IF(SUMPRODUCT(('Σύνοψη'!$F$2:$F289=$A140)*('Σύνοψη'!$C$2:$C289=H$3)*('Σύνοψη'!$G$2:$G289&lt;$B140)*('Σύνοψη'!$H$2:$H289&gt;$B140))&gt;0, CHAR(34), """") ), """")"),"")</f>
        <v/>
      </c>
      <c r="I140" s="3"/>
    </row>
    <row r="141" spans="1:9" s="100" customFormat="1" x14ac:dyDescent="0.25">
      <c r="A141" s="95">
        <f t="shared" si="9"/>
        <v>46276</v>
      </c>
      <c r="B141" s="89">
        <v>0.70833333333333337</v>
      </c>
      <c r="C141" s="67" t="str">
        <f ca="1">IFERROR(__xludf.DUMMYFUNCTION("IFERROR(IF(SUMPRODUCT(('Σύνοψη'!$F$2:$F289=$A141)*('Σύνοψη'!$C$2:$C289=C$3)*('Σύνοψη'!$G$2:$G289=$B141))&gt;0,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'Σύνοψη'!$C$2:$C289=C$3)), IF(SUMPRODUCT(('Σύνοψη'!$F$2:$F289=$A141)*('Σύνοψη'!$C$2:$C289=C$3)*('Σύνοψη'!$G$2:$G289&lt;$B141)*('Σύνοψη'!$H$2:$H289&gt;$B141))&gt;0, CHAR(34), """") ), """")"),"")</f>
        <v/>
      </c>
      <c r="D141" s="67" t="str">
        <f ca="1">IFERROR(__xludf.DUMMYFUNCTION("IFERROR(IF(SUMPRODUCT(('Σύνοψη'!$F$2:$F289=$A141)*('Σύνοψη'!$C$2:$C289=D$3)*('Σύνοψη'!$G$2:$G289=$B141))&gt;0,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'Σύνοψη'!$C$2:$C289=D$3)), IF(SUMPRODUCT(('Σύνοψη'!$F$2:$F289=$A141)*('Σύνοψη'!$C$2:$C289=D$3)*('Σύνοψη'!$G$2:$G289&lt;$B141)*('Σύνοψη'!$H$2:$H289&gt;$B141))&gt;0, CHAR(34), """") ), """")"),"")</f>
        <v/>
      </c>
      <c r="E141" s="67" t="str">
        <f ca="1">IFERROR(__xludf.DUMMYFUNCTION("IFERROR(IF(SUMPRODUCT(('Σύνοψη'!$F$2:$F289=$A141)*('Σύνοψη'!$C$2:$C289=E$3)*('Σύνοψη'!$G$2:$G289=$B141))&gt;0,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'Σύνοψη'!$C$2:$C289=E$3)), IF(SUMPRODUCT(('Σύνοψη'!$F$2:$F289=$A141)*('Σύνοψη'!$C$2:$C289=E$3)*('Σύνοψη'!$G$2:$G289&lt;$B141)*('Σύνοψη'!$H$2:$H289&gt;$B141))&gt;0, CHAR(34), """") ), """")"),"""")</f>
        <v>"</v>
      </c>
      <c r="F141" s="67" t="str">
        <f ca="1">IFERROR(__xludf.DUMMYFUNCTION("IFERROR(IF(SUMPRODUCT(('Σύνοψη'!$F$2:$F289=$A141)*('Σύνοψη'!$C$2:$C289=F$3)*('Σύνοψη'!$G$2:$G289=$B141))&gt;0,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'Σύνοψη'!$C$2:$C289=F$3)), IF(SUMPRODUCT(('Σύνοψη'!$F$2:$F289=$A141)*('Σύνοψη'!$C$2:$C289=F$3)*('Σύνοψη'!$G$2:$G289&lt;$B141)*('Σύνοψη'!$H$2:$H289&gt;$B141))&gt;0, CHAR(34), """") ), """")"),"")</f>
        <v/>
      </c>
      <c r="G141" s="67" t="str">
        <f ca="1">IFERROR(__xludf.DUMMYFUNCTION("IFERROR(IF(SUMPRODUCT(('Σύνοψη'!$F$2:$F289=$A141)*('Σύνοψη'!$C$2:$C289=G$3)*('Σύνοψη'!$G$2:$G289=$B141))&gt;0,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'Σύνοψη'!$C$2:$C289=G$3)), IF(SUMPRODUCT(('Σύνοψη'!$F$2:$F289=$A141)*('Σύνοψη'!$C$2:$C289=G$3)*('Σύνοψη'!$G$2:$G289&lt;$B141)*('Σύνοψη'!$H$2:$H289&gt;$B141))&gt;0, CHAR(34), """") ), """")"),"")</f>
        <v/>
      </c>
      <c r="H141" s="67" t="str">
        <f ca="1">IFERROR(__xludf.DUMMYFUNCTION("IFERROR(IF(SUMPRODUCT(('Σύνοψη'!$F$2:$F289=$A141)*('Σύνοψη'!$C$2:$C289=H$3)*('Σύνοψη'!$G$2:$G289=$B141))&gt;0, TEXTJOIN(CHAR(10) &amp; ""-----------------------"" &amp; CHAR(10), TRUE, FILTER('Σύνοψη'!$E$2:$E289 &amp; "" - "" &amp; 'Σύνοψη'!$I$2:$I289 &amp; "" ("" &amp; 'Σύνοψη'!$J"&amp;"$2:$J289 &amp; "")"", 'Σύνοψη'!$F$2:$F289=$A141, 'Σύνοψη'!$G$2:$G289=$B141, 'Σύνοψη'!$C$2:$C289=H$3)), IF(SUMPRODUCT(('Σύνοψη'!$F$2:$F289=$A141)*('Σύνοψη'!$C$2:$C289=H$3)*('Σύνοψη'!$G$2:$G289&lt;$B141)*('Σύνοψη'!$H$2:$H289&gt;$B141))&gt;0, CHAR(34), """") ), """")"),"")</f>
        <v/>
      </c>
      <c r="I141" s="3"/>
    </row>
    <row r="142" spans="1:9" s="100" customFormat="1" ht="90" x14ac:dyDescent="0.25">
      <c r="A142" s="95">
        <f t="shared" si="9"/>
        <v>46276</v>
      </c>
      <c r="B142" s="89">
        <v>0.75</v>
      </c>
      <c r="C142" s="67" t="str">
        <f ca="1">IFERROR(__xludf.DUMMYFUNCTION("IFERROR(IF(SUMPRODUCT(('Σύνοψη'!$F$2:$F289=$A142)*('Σύνοψη'!$C$2:$C289=C$3)*('Σύνοψη'!$G$2:$G289=$B142))&gt;0,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'Σύνοψη'!$C$2:$C289=C$3)), IF(SUMPRODUCT(('Σύνοψη'!$F$2:$F289=$A142)*('Σύνοψη'!$C$2:$C289=C$3)*('Σύνοψη'!$G$2:$G289&lt;$B142)*('Σύνοψη'!$H$2:$H289&gt;$B142))&gt;0, CHAR(34), """") ), """")"),"")</f>
        <v/>
      </c>
      <c r="D142" s="67" t="str">
        <f ca="1">IFERROR(__xludf.DUMMYFUNCTION("IFERROR(IF(SUMPRODUCT(('Σύνοψη'!$F$2:$F289=$A142)*('Σύνοψη'!$C$2:$C289=D$3)*('Σύνοψη'!$G$2:$G289=$B142))&gt;0,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'Σύνοψη'!$C$2:$C289=D$3)), IF(SUMPRODUCT(('Σύνοψη'!$F$2:$F289=$A142)*('Σύνοψη'!$C$2:$C289=D$3)*('Σύνοψη'!$G$2:$G289&lt;$B142)*('Σύνοψη'!$H$2:$H289&gt;$B142))&gt;0, CHAR(34), """") ), """")"),"")</f>
        <v/>
      </c>
      <c r="E142" s="67" t="str">
        <f ca="1">IFERROR(__xludf.DUMMYFUNCTION("IFERROR(IF(SUMPRODUCT(('Σύνοψη'!$F$2:$F289=$A142)*('Σύνοψη'!$C$2:$C289=E$3)*('Σύνοψη'!$G$2:$G289=$B142))&gt;0,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'Σύνοψη'!$C$2:$C289=E$3)), IF(SUMPRODUCT(('Σύνοψη'!$F$2:$F289=$A142)*('Σύνοψη'!$C$2:$C289=E$3)*('Σύνοψη'!$G$2:$G289&lt;$B142)*('Σύνοψη'!$H$2:$H289&gt;$B142))&gt;0, CHAR(34), """") ), """")"),"")</f>
        <v/>
      </c>
      <c r="F142" s="67" t="str">
        <f ca="1">IFERROR(__xludf.DUMMYFUNCTION("IFERROR(IF(SUMPRODUCT(('Σύνοψη'!$F$2:$F289=$A142)*('Σύνοψη'!$C$2:$C289=F$3)*('Σύνοψη'!$G$2:$G289=$B142))&gt;0,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'Σύνοψη'!$C$2:$C289=F$3)), IF(SUMPRODUCT(('Σύνοψη'!$F$2:$F289=$A142)*('Σύνοψη'!$C$2:$C289=F$3)*('Σύνοψη'!$G$2:$G289&lt;$B142)*('Σύνοψη'!$H$2:$H289&gt;$B142))&gt;0, CHAR(34), """") ), """")"),"Παθολογία Ζώων Συντροφιάς ΙV - 18:00 - 20:00 (Νέες Αίθουσες)")</f>
        <v>Παθολογία Ζώων Συντροφιάς ΙV - 18:00 - 20:00 (Νέες Αίθουσες)</v>
      </c>
      <c r="G142" s="67" t="str">
        <f ca="1">IFERROR(__xludf.DUMMYFUNCTION("IFERROR(IF(SUMPRODUCT(('Σύνοψη'!$F$2:$F289=$A142)*('Σύνοψη'!$C$2:$C289=G$3)*('Σύνοψη'!$G$2:$G289=$B142))&gt;0,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'Σύνοψη'!$C$2:$C289=G$3)), IF(SUMPRODUCT(('Σύνοψη'!$F$2:$F289=$A142)*('Σύνοψη'!$C$2:$C289=G$3)*('Σύνοψη'!$G$2:$G289&lt;$B142)*('Σύνοψη'!$H$2:$H289&gt;$B142))&gt;0, CHAR(34), """") ), """")"),"Εξειδικευμένα Μαθήματα Δερματολογίας Ζώων Συντροφιάς - 18:00 - 20:00 (Νέες Αίθουσες)")</f>
        <v>Εξειδικευμένα Μαθήματα Δερματολογίας Ζώων Συντροφιάς - 18:00 - 20:00 (Νέες Αίθουσες)</v>
      </c>
      <c r="H142" s="67" t="str">
        <f ca="1">IFERROR(__xludf.DUMMYFUNCTION("IFERROR(IF(SUMPRODUCT(('Σύνοψη'!$F$2:$F289=$A142)*('Σύνοψη'!$C$2:$C289=H$3)*('Σύνοψη'!$G$2:$G289=$B142))&gt;0, TEXTJOIN(CHAR(10) &amp; ""-----------------------"" &amp; CHAR(10), TRUE, FILTER('Σύνοψη'!$E$2:$E289 &amp; "" - "" &amp; 'Σύνοψη'!$I$2:$I289 &amp; "" ("" &amp; 'Σύνοψη'!$J"&amp;"$2:$J289 &amp; "")"", 'Σύνοψη'!$F$2:$F289=$A142, 'Σύνοψη'!$G$2:$G289=$B142, 'Σύνοψη'!$C$2:$C289=H$3)), IF(SUMPRODUCT(('Σύνοψη'!$F$2:$F289=$A142)*('Σύνοψη'!$C$2:$C289=H$3)*('Σύνοψη'!$G$2:$G289&lt;$B142)*('Σύνοψη'!$H$2:$H289&gt;$B142))&gt;0, CHAR(34), """") ), """")"),"Ειδική Παθολογία ΖΣ ΙV (ΠΠΣ) - 18:00 - 20:00 (Νέες Αίθουσες)
-----------------------
Ειδικη Παθολογία ΖΣ V (ΠΠΣ) (Γραπτά) - 18:00 - 20:00 (Νέες Αίθουσες)")</f>
        <v>Ειδική Παθολογία ΖΣ ΙV (ΠΠΣ) - 18:00 - 20:00 (Νέες Αίθουσες)
-----------------------
Ειδικη Παθολογία ΖΣ V (ΠΠΣ) (Γραπτά) - 18:00 - 20:00 (Νέες Αίθουσες)</v>
      </c>
      <c r="I142" s="3"/>
    </row>
    <row r="143" spans="1:9" s="100" customFormat="1" x14ac:dyDescent="0.25">
      <c r="A143" s="95">
        <f t="shared" si="9"/>
        <v>46276</v>
      </c>
      <c r="B143" s="89">
        <v>0.79166666666666663</v>
      </c>
      <c r="C143" s="67" t="str">
        <f ca="1">IFERROR(__xludf.DUMMYFUNCTION("IFERROR(IF(SUMPRODUCT(('Σύνοψη'!$F$2:$F289=$A143)*('Σύνοψη'!$C$2:$C289=C$3)*('Σύνοψη'!$G$2:$G289=$B143))&gt;0,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'Σύνοψη'!$C$2:$C289=C$3)), IF(SUMPRODUCT(('Σύνοψη'!$F$2:$F289=$A143)*('Σύνοψη'!$C$2:$C289=C$3)*('Σύνοψη'!$G$2:$G289&lt;$B143)*('Σύνοψη'!$H$2:$H289&gt;$B143))&gt;0, CHAR(34), """") ), """")"),"")</f>
        <v/>
      </c>
      <c r="D143" s="67" t="str">
        <f ca="1">IFERROR(__xludf.DUMMYFUNCTION("IFERROR(IF(SUMPRODUCT(('Σύνοψη'!$F$2:$F289=$A143)*('Σύνοψη'!$C$2:$C289=D$3)*('Σύνοψη'!$G$2:$G289=$B143))&gt;0,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'Σύνοψη'!$C$2:$C289=D$3)), IF(SUMPRODUCT(('Σύνοψη'!$F$2:$F289=$A143)*('Σύνοψη'!$C$2:$C289=D$3)*('Σύνοψη'!$G$2:$G289&lt;$B143)*('Σύνοψη'!$H$2:$H289&gt;$B143))&gt;0, CHAR(34), """") ), """")"),"")</f>
        <v/>
      </c>
      <c r="E143" s="67" t="str">
        <f ca="1">IFERROR(__xludf.DUMMYFUNCTION("IFERROR(IF(SUMPRODUCT(('Σύνοψη'!$F$2:$F289=$A143)*('Σύνοψη'!$C$2:$C289=E$3)*('Σύνοψη'!$G$2:$G289=$B143))&gt;0,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'Σύνοψη'!$C$2:$C289=E$3)), IF(SUMPRODUCT(('Σύνοψη'!$F$2:$F289=$A143)*('Σύνοψη'!$C$2:$C289=E$3)*('Σύνοψη'!$G$2:$G289&lt;$B143)*('Σύνοψη'!$H$2:$H289&gt;$B143))&gt;0, CHAR(34), """") ), """")"),"")</f>
        <v/>
      </c>
      <c r="F143" s="67" t="str">
        <f ca="1">IFERROR(__xludf.DUMMYFUNCTION("IFERROR(IF(SUMPRODUCT(('Σύνοψη'!$F$2:$F289=$A143)*('Σύνοψη'!$C$2:$C289=F$3)*('Σύνοψη'!$G$2:$G289=$B143))&gt;0,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'Σύνοψη'!$C$2:$C289=F$3)), IF(SUMPRODUCT(('Σύνοψη'!$F$2:$F289=$A143)*('Σύνοψη'!$C$2:$C289=F$3)*('Σύνοψη'!$G$2:$G289&lt;$B143)*('Σύνοψη'!$H$2:$H289&gt;$B143))&gt;0, CHAR(34), """") ), """")"),"""")</f>
        <v>"</v>
      </c>
      <c r="G143" s="67" t="str">
        <f ca="1">IFERROR(__xludf.DUMMYFUNCTION("IFERROR(IF(SUMPRODUCT(('Σύνοψη'!$F$2:$F289=$A143)*('Σύνοψη'!$C$2:$C289=G$3)*('Σύνοψη'!$G$2:$G289=$B143))&gt;0,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'Σύνοψη'!$C$2:$C289=G$3)), IF(SUMPRODUCT(('Σύνοψη'!$F$2:$F289=$A143)*('Σύνοψη'!$C$2:$C289=G$3)*('Σύνοψη'!$G$2:$G289&lt;$B143)*('Σύνοψη'!$H$2:$H289&gt;$B143))&gt;0, CHAR(34), """") ), """")"),"""")</f>
        <v>"</v>
      </c>
      <c r="H143" s="67" t="str">
        <f ca="1">IFERROR(__xludf.DUMMYFUNCTION("IFERROR(IF(SUMPRODUCT(('Σύνοψη'!$F$2:$F289=$A143)*('Σύνοψη'!$C$2:$C289=H$3)*('Σύνοψη'!$G$2:$G289=$B143))&gt;0, TEXTJOIN(CHAR(10) &amp; ""-----------------------"" &amp; CHAR(10), TRUE, FILTER('Σύνοψη'!$E$2:$E289 &amp; "" - "" &amp; 'Σύνοψη'!$I$2:$I289 &amp; "" ("" &amp; 'Σύνοψη'!$J"&amp;"$2:$J289 &amp; "")"", 'Σύνοψη'!$F$2:$F289=$A143, 'Σύνοψη'!$G$2:$G289=$B143, 'Σύνοψη'!$C$2:$C289=H$3)), IF(SUMPRODUCT(('Σύνοψη'!$F$2:$F289=$A143)*('Σύνοψη'!$C$2:$C289=H$3)*('Σύνοψη'!$G$2:$G289&lt;$B143)*('Σύνοψη'!$H$2:$H289&gt;$B143))&gt;0, CHAR(34), """") ), """")"),"""")</f>
        <v>"</v>
      </c>
      <c r="I143" s="3"/>
    </row>
    <row r="144" spans="1:9" s="100" customFormat="1" x14ac:dyDescent="0.25">
      <c r="A144" s="95">
        <f t="shared" si="9"/>
        <v>46276</v>
      </c>
      <c r="B144" s="89">
        <v>0.83333333333333337</v>
      </c>
      <c r="C144" s="67" t="str">
        <f ca="1">IFERROR(__xludf.DUMMYFUNCTION("IFERROR(IF(SUMPRODUCT(('Σύνοψη'!$F$2:$F289=$A144)*('Σύνοψη'!$C$2:$C289=C$3)*('Σύνοψη'!$G$2:$G289=$B144))&gt;0,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'Σύνοψη'!$C$2:$C289=C$3)), IF(SUMPRODUCT(('Σύνοψη'!$F$2:$F289=$A144)*('Σύνοψη'!$C$2:$C289=C$3)*('Σύνοψη'!$G$2:$G289&lt;$B144)*('Σύνοψη'!$H$2:$H289&gt;$B144))&gt;0, CHAR(34), """") ), """")"),"")</f>
        <v/>
      </c>
      <c r="D144" s="67" t="str">
        <f ca="1">IFERROR(__xludf.DUMMYFUNCTION("IFERROR(IF(SUMPRODUCT(('Σύνοψη'!$F$2:$F289=$A144)*('Σύνοψη'!$C$2:$C289=D$3)*('Σύνοψη'!$G$2:$G289=$B144))&gt;0,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'Σύνοψη'!$C$2:$C289=D$3)), IF(SUMPRODUCT(('Σύνοψη'!$F$2:$F289=$A144)*('Σύνοψη'!$C$2:$C289=D$3)*('Σύνοψη'!$G$2:$G289&lt;$B144)*('Σύνοψη'!$H$2:$H289&gt;$B144))&gt;0, CHAR(34), """") ), """")"),"")</f>
        <v/>
      </c>
      <c r="E144" s="67" t="str">
        <f ca="1">IFERROR(__xludf.DUMMYFUNCTION("IFERROR(IF(SUMPRODUCT(('Σύνοψη'!$F$2:$F289=$A144)*('Σύνοψη'!$C$2:$C289=E$3)*('Σύνοψη'!$G$2:$G289=$B144))&gt;0,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'Σύνοψη'!$C$2:$C289=E$3)), IF(SUMPRODUCT(('Σύνοψη'!$F$2:$F289=$A144)*('Σύνοψη'!$C$2:$C289=E$3)*('Σύνοψη'!$G$2:$G289&lt;$B144)*('Σύνοψη'!$H$2:$H289&gt;$B144))&gt;0, CHAR(34), """") ), """")"),"")</f>
        <v/>
      </c>
      <c r="F144" s="67" t="str">
        <f ca="1">IFERROR(__xludf.DUMMYFUNCTION("IFERROR(IF(SUMPRODUCT(('Σύνοψη'!$F$2:$F289=$A144)*('Σύνοψη'!$C$2:$C289=F$3)*('Σύνοψη'!$G$2:$G289=$B144))&gt;0,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'Σύνοψη'!$C$2:$C289=F$3)), IF(SUMPRODUCT(('Σύνοψη'!$F$2:$F289=$A144)*('Σύνοψη'!$C$2:$C289=F$3)*('Σύνοψη'!$G$2:$G289&lt;$B144)*('Σύνοψη'!$H$2:$H289&gt;$B144))&gt;0, CHAR(34), """") ), """")"),"")</f>
        <v/>
      </c>
      <c r="G144" s="67" t="str">
        <f ca="1">IFERROR(__xludf.DUMMYFUNCTION("IFERROR(IF(SUMPRODUCT(('Σύνοψη'!$F$2:$F289=$A144)*('Σύνοψη'!$C$2:$C289=G$3)*('Σύνοψη'!$G$2:$G289=$B144))&gt;0,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'Σύνοψη'!$C$2:$C289=G$3)), IF(SUMPRODUCT(('Σύνοψη'!$F$2:$F289=$A144)*('Σύνοψη'!$C$2:$C289=G$3)*('Σύνοψη'!$G$2:$G289&lt;$B144)*('Σύνοψη'!$H$2:$H289&gt;$B144))&gt;0, CHAR(34), """") ), """")"),"")</f>
        <v/>
      </c>
      <c r="H144" s="67" t="str">
        <f ca="1">IFERROR(__xludf.DUMMYFUNCTION("IFERROR(IF(SUMPRODUCT(('Σύνοψη'!$F$2:$F289=$A144)*('Σύνοψη'!$C$2:$C289=H$3)*('Σύνοψη'!$G$2:$G289=$B144))&gt;0, TEXTJOIN(CHAR(10) &amp; ""-----------------------"" &amp; CHAR(10), TRUE, FILTER('Σύνοψη'!$E$2:$E289 &amp; "" - "" &amp; 'Σύνοψη'!$I$2:$I289 &amp; "" ("" &amp; 'Σύνοψη'!$J"&amp;"$2:$J289 &amp; "")"", 'Σύνοψη'!$F$2:$F289=$A144, 'Σύνοψη'!$G$2:$G289=$B144, 'Σύνοψη'!$C$2:$C289=H$3)), IF(SUMPRODUCT(('Σύνοψη'!$F$2:$F289=$A144)*('Σύνοψη'!$C$2:$C289=H$3)*('Σύνοψη'!$G$2:$G289&lt;$B144)*('Σύνοψη'!$H$2:$H289&gt;$B144))&gt;0, CHAR(34), """") ), """")"),"")</f>
        <v/>
      </c>
      <c r="I144" s="3"/>
    </row>
    <row r="145" spans="1:9" s="100" customFormat="1" x14ac:dyDescent="0.25">
      <c r="A145" s="96">
        <f t="shared" si="9"/>
        <v>46276</v>
      </c>
      <c r="B145" s="97">
        <v>0.875</v>
      </c>
      <c r="C145" s="67" t="str">
        <f ca="1">IFERROR(__xludf.DUMMYFUNCTION("IFERROR(IF(SUMPRODUCT(('Σύνοψη'!$F$2:$F289=$A145)*('Σύνοψη'!$C$2:$C289=C$3)*('Σύνοψη'!$G$2:$G289=$B145))&gt;0,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'Σύνοψη'!$C$2:$C289=C$3)), IF(SUMPRODUCT(('Σύνοψη'!$F$2:$F289=$A145)*('Σύνοψη'!$C$2:$C289=C$3)*('Σύνοψη'!$G$2:$G289&lt;$B145)*('Σύνοψη'!$H$2:$H289&gt;$B145))&gt;0, CHAR(34), """") ), """")"),"")</f>
        <v/>
      </c>
      <c r="D145" s="67" t="str">
        <f ca="1">IFERROR(__xludf.DUMMYFUNCTION("IFERROR(IF(SUMPRODUCT(('Σύνοψη'!$F$2:$F289=$A145)*('Σύνοψη'!$C$2:$C289=D$3)*('Σύνοψη'!$G$2:$G289=$B145))&gt;0,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'Σύνοψη'!$C$2:$C289=D$3)), IF(SUMPRODUCT(('Σύνοψη'!$F$2:$F289=$A145)*('Σύνοψη'!$C$2:$C289=D$3)*('Σύνοψη'!$G$2:$G289&lt;$B145)*('Σύνοψη'!$H$2:$H289&gt;$B145))&gt;0, CHAR(34), """") ), """")"),"")</f>
        <v/>
      </c>
      <c r="E145" s="67" t="str">
        <f ca="1">IFERROR(__xludf.DUMMYFUNCTION("IFERROR(IF(SUMPRODUCT(('Σύνοψη'!$F$2:$F289=$A145)*('Σύνοψη'!$C$2:$C289=E$3)*('Σύνοψη'!$G$2:$G289=$B145))&gt;0,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'Σύνοψη'!$C$2:$C289=E$3)), IF(SUMPRODUCT(('Σύνοψη'!$F$2:$F289=$A145)*('Σύνοψη'!$C$2:$C289=E$3)*('Σύνοψη'!$G$2:$G289&lt;$B145)*('Σύνοψη'!$H$2:$H289&gt;$B145))&gt;0, CHAR(34), """") ), """")"),"")</f>
        <v/>
      </c>
      <c r="F145" s="67" t="str">
        <f ca="1">IFERROR(__xludf.DUMMYFUNCTION("IFERROR(IF(SUMPRODUCT(('Σύνοψη'!$F$2:$F289=$A145)*('Σύνοψη'!$C$2:$C289=F$3)*('Σύνοψη'!$G$2:$G289=$B145))&gt;0,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'Σύνοψη'!$C$2:$C289=F$3)), IF(SUMPRODUCT(('Σύνοψη'!$F$2:$F289=$A145)*('Σύνοψη'!$C$2:$C289=F$3)*('Σύνοψη'!$G$2:$G289&lt;$B145)*('Σύνοψη'!$H$2:$H289&gt;$B145))&gt;0, CHAR(34), """") ), """")"),"")</f>
        <v/>
      </c>
      <c r="G145" s="67" t="str">
        <f ca="1">IFERROR(__xludf.DUMMYFUNCTION("IFERROR(IF(SUMPRODUCT(('Σύνοψη'!$F$2:$F289=$A145)*('Σύνοψη'!$C$2:$C289=G$3)*('Σύνοψη'!$G$2:$G289=$B145))&gt;0,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'Σύνοψη'!$C$2:$C289=G$3)), IF(SUMPRODUCT(('Σύνοψη'!$F$2:$F289=$A145)*('Σύνοψη'!$C$2:$C289=G$3)*('Σύνοψη'!$G$2:$G289&lt;$B145)*('Σύνοψη'!$H$2:$H289&gt;$B145))&gt;0, CHAR(34), """") ), """")"),"")</f>
        <v/>
      </c>
      <c r="H145" s="67" t="str">
        <f ca="1">IFERROR(__xludf.DUMMYFUNCTION("IFERROR(IF(SUMPRODUCT(('Σύνοψη'!$F$2:$F289=$A145)*('Σύνοψη'!$C$2:$C289=H$3)*('Σύνοψη'!$G$2:$G289=$B145))&gt;0, TEXTJOIN(CHAR(10) &amp; ""-----------------------"" &amp; CHAR(10), TRUE, FILTER('Σύνοψη'!$E$2:$E289 &amp; "" - "" &amp; 'Σύνοψη'!$I$2:$I289 &amp; "" ("" &amp; 'Σύνοψη'!$J"&amp;"$2:$J289 &amp; "")"", 'Σύνοψη'!$F$2:$F289=$A145, 'Σύνοψη'!$G$2:$G289=$B145, 'Σύνοψη'!$C$2:$C289=H$3)), IF(SUMPRODUCT(('Σύνοψη'!$F$2:$F289=$A145)*('Σύνοψη'!$C$2:$C289=H$3)*('Σύνοψη'!$G$2:$G289&lt;$B145)*('Σύνοψη'!$H$2:$H289&gt;$B145))&gt;0, CHAR(34), """") ), """")"),"")</f>
        <v/>
      </c>
      <c r="I145" s="3"/>
    </row>
    <row r="146" spans="1:9" s="100" customFormat="1" x14ac:dyDescent="0.25">
      <c r="A146" s="98">
        <f>$D$1+12</f>
        <v>46277</v>
      </c>
      <c r="B146" s="89"/>
      <c r="C146" s="68" t="str">
        <f ca="1">IFERROR(__xludf.DUMMYFUNCTION("IFERROR(IF(SUMPRODUCT(('Σύνοψη'!$F$2:$F289=$A146)*('Σύνοψη'!$C$2:$C289=C$3)*('Σύνοψη'!$G$2:$G289=$B146))&gt;0,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'Σύνοψη'!$C$2:$C289=C$3)), IF(SUMPRODUCT(('Σύνοψη'!$F$2:$F289=$A146)*('Σύνοψη'!$C$2:$C289=C$3)*('Σύνοψη'!$G$2:$G289&lt;$B146)*('Σύνοψη'!$H$2:$H289&gt;$B146))&gt;0, CHAR(34), """") ), """")"),"")</f>
        <v/>
      </c>
      <c r="D146" s="68" t="str">
        <f ca="1">IFERROR(__xludf.DUMMYFUNCTION("IFERROR(IF(SUMPRODUCT(('Σύνοψη'!$F$2:$F289=$A146)*('Σύνοψη'!$C$2:$C289=D$3)*('Σύνοψη'!$G$2:$G289=$B146))&gt;0,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'Σύνοψη'!$C$2:$C289=D$3)), IF(SUMPRODUCT(('Σύνοψη'!$F$2:$F289=$A146)*('Σύνοψη'!$C$2:$C289=D$3)*('Σύνοψη'!$G$2:$G289&lt;$B146)*('Σύνοψη'!$H$2:$H289&gt;$B146))&gt;0, CHAR(34), """") ), """")"),"")</f>
        <v/>
      </c>
      <c r="E146" s="68" t="str">
        <f ca="1">IFERROR(__xludf.DUMMYFUNCTION("IFERROR(IF(SUMPRODUCT(('Σύνοψη'!$F$2:$F289=$A146)*('Σύνοψη'!$C$2:$C289=E$3)*('Σύνοψη'!$G$2:$G289=$B146))&gt;0,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'Σύνοψη'!$C$2:$C289=E$3)), IF(SUMPRODUCT(('Σύνοψη'!$F$2:$F289=$A146)*('Σύνοψη'!$C$2:$C289=E$3)*('Σύνοψη'!$G$2:$G289&lt;$B146)*('Σύνοψη'!$H$2:$H289&gt;$B146))&gt;0, CHAR(34), """") ), """")"),"")</f>
        <v/>
      </c>
      <c r="F146" s="68" t="str">
        <f ca="1">IFERROR(__xludf.DUMMYFUNCTION("IFERROR(IF(SUMPRODUCT(('Σύνοψη'!$F$2:$F289=$A146)*('Σύνοψη'!$C$2:$C289=F$3)*('Σύνοψη'!$G$2:$G289=$B146))&gt;0,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'Σύνοψη'!$C$2:$C289=F$3)), IF(SUMPRODUCT(('Σύνοψη'!$F$2:$F289=$A146)*('Σύνοψη'!$C$2:$C289=F$3)*('Σύνοψη'!$G$2:$G289&lt;$B146)*('Σύνοψη'!$H$2:$H289&gt;$B146))&gt;0, CHAR(34), """") ), """")"),"")</f>
        <v/>
      </c>
      <c r="G146" s="68" t="str">
        <f ca="1">IFERROR(__xludf.DUMMYFUNCTION("IFERROR(IF(SUMPRODUCT(('Σύνοψη'!$F$2:$F289=$A146)*('Σύνοψη'!$C$2:$C289=G$3)*('Σύνοψη'!$G$2:$G289=$B146))&gt;0,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'Σύνοψη'!$C$2:$C289=G$3)), IF(SUMPRODUCT(('Σύνοψη'!$F$2:$F289=$A146)*('Σύνοψη'!$C$2:$C289=G$3)*('Σύνοψη'!$G$2:$G289&lt;$B146)*('Σύνοψη'!$H$2:$H289&gt;$B146))&gt;0, CHAR(34), """") ), """")"),"")</f>
        <v/>
      </c>
      <c r="H146" s="68" t="str">
        <f ca="1">IFERROR(__xludf.DUMMYFUNCTION("IFERROR(IF(SUMPRODUCT(('Σύνοψη'!$F$2:$F289=$A146)*('Σύνοψη'!$C$2:$C289=H$3)*('Σύνοψη'!$G$2:$G289=$B146))&gt;0, TEXTJOIN(CHAR(10) &amp; ""-----------------------"" &amp; CHAR(10), TRUE, FILTER('Σύνοψη'!$E$2:$E289 &amp; "" - "" &amp; 'Σύνοψη'!$I$2:$I289 &amp; "" ("" &amp; 'Σύνοψη'!$J"&amp;"$2:$J289 &amp; "")"", 'Σύνοψη'!$F$2:$F289=$A146, 'Σύνοψη'!$G$2:$G289=$B146, 'Σύνοψη'!$C$2:$C289=H$3)), IF(SUMPRODUCT(('Σύνοψη'!$F$2:$F289=$A146)*('Σύνοψη'!$C$2:$C289=H$3)*('Σύνοψη'!$G$2:$G289&lt;$B146)*('Σύνοψη'!$H$2:$H289&gt;$B146))&gt;0, CHAR(34), """") ), """")"),"")</f>
        <v/>
      </c>
      <c r="I146" s="3"/>
    </row>
    <row r="147" spans="1:9" s="100" customFormat="1" x14ac:dyDescent="0.25">
      <c r="A147" s="93">
        <f>$D$1+13</f>
        <v>46278</v>
      </c>
      <c r="B147" s="94"/>
      <c r="C147" s="68" t="str">
        <f ca="1">IFERROR(__xludf.DUMMYFUNCTION("IFERROR(IF(SUMPRODUCT(('Σύνοψη'!$F$2:$F289=$A147)*('Σύνοψη'!$C$2:$C289=C$3)*('Σύνοψη'!$G$2:$G289=$B147))&gt;0,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'Σύνοψη'!$C$2:$C289=C$3)), IF(SUMPRODUCT(('Σύνοψη'!$F$2:$F289=$A147)*('Σύνοψη'!$C$2:$C289=C$3)*('Σύνοψη'!$G$2:$G289&lt;$B147)*('Σύνοψη'!$H$2:$H289&gt;$B147))&gt;0, CHAR(34), """") ), """")"),"")</f>
        <v/>
      </c>
      <c r="D147" s="68" t="str">
        <f ca="1">IFERROR(__xludf.DUMMYFUNCTION("IFERROR(IF(SUMPRODUCT(('Σύνοψη'!$F$2:$F289=$A147)*('Σύνοψη'!$C$2:$C289=D$3)*('Σύνοψη'!$G$2:$G289=$B147))&gt;0,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'Σύνοψη'!$C$2:$C289=D$3)), IF(SUMPRODUCT(('Σύνοψη'!$F$2:$F289=$A147)*('Σύνοψη'!$C$2:$C289=D$3)*('Σύνοψη'!$G$2:$G289&lt;$B147)*('Σύνοψη'!$H$2:$H289&gt;$B147))&gt;0, CHAR(34), """") ), """")"),"")</f>
        <v/>
      </c>
      <c r="E147" s="68" t="str">
        <f ca="1">IFERROR(__xludf.DUMMYFUNCTION("IFERROR(IF(SUMPRODUCT(('Σύνοψη'!$F$2:$F289=$A147)*('Σύνοψη'!$C$2:$C289=E$3)*('Σύνοψη'!$G$2:$G289=$B147))&gt;0,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'Σύνοψη'!$C$2:$C289=E$3)), IF(SUMPRODUCT(('Σύνοψη'!$F$2:$F289=$A147)*('Σύνοψη'!$C$2:$C289=E$3)*('Σύνοψη'!$G$2:$G289&lt;$B147)*('Σύνοψη'!$H$2:$H289&gt;$B147))&gt;0, CHAR(34), """") ), """")"),"")</f>
        <v/>
      </c>
      <c r="F147" s="68" t="str">
        <f ca="1">IFERROR(__xludf.DUMMYFUNCTION("IFERROR(IF(SUMPRODUCT(('Σύνοψη'!$F$2:$F289=$A147)*('Σύνοψη'!$C$2:$C289=F$3)*('Σύνοψη'!$G$2:$G289=$B147))&gt;0,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'Σύνοψη'!$C$2:$C289=F$3)), IF(SUMPRODUCT(('Σύνοψη'!$F$2:$F289=$A147)*('Σύνοψη'!$C$2:$C289=F$3)*('Σύνοψη'!$G$2:$G289&lt;$B147)*('Σύνοψη'!$H$2:$H289&gt;$B147))&gt;0, CHAR(34), """") ), """")"),"")</f>
        <v/>
      </c>
      <c r="G147" s="68" t="str">
        <f ca="1">IFERROR(__xludf.DUMMYFUNCTION("IFERROR(IF(SUMPRODUCT(('Σύνοψη'!$F$2:$F289=$A147)*('Σύνοψη'!$C$2:$C289=G$3)*('Σύνοψη'!$G$2:$G289=$B147))&gt;0,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'Σύνοψη'!$C$2:$C289=G$3)), IF(SUMPRODUCT(('Σύνοψη'!$F$2:$F289=$A147)*('Σύνοψη'!$C$2:$C289=G$3)*('Σύνοψη'!$G$2:$G289&lt;$B147)*('Σύνοψη'!$H$2:$H289&gt;$B147))&gt;0, CHAR(34), """") ), """")"),"")</f>
        <v/>
      </c>
      <c r="H147" s="68" t="str">
        <f ca="1">IFERROR(__xludf.DUMMYFUNCTION("IFERROR(IF(SUMPRODUCT(('Σύνοψη'!$F$2:$F289=$A147)*('Σύνοψη'!$C$2:$C289=H$3)*('Σύνοψη'!$G$2:$G289=$B147))&gt;0, TEXTJOIN(CHAR(10) &amp; ""-----------------------"" &amp; CHAR(10), TRUE, FILTER('Σύνοψη'!$E$2:$E289 &amp; "" - "" &amp; 'Σύνοψη'!$I$2:$I289 &amp; "" ("" &amp; 'Σύνοψη'!$J"&amp;"$2:$J289 &amp; "")"", 'Σύνοψη'!$F$2:$F289=$A147, 'Σύνοψη'!$G$2:$G289=$B147, 'Σύνοψη'!$C$2:$C289=H$3)), IF(SUMPRODUCT(('Σύνοψη'!$F$2:$F289=$A147)*('Σύνοψη'!$C$2:$C289=H$3)*('Σύνοψη'!$G$2:$G289&lt;$B147)*('Σύνοψη'!$H$2:$H289&gt;$B147))&gt;0, CHAR(34), """") ), """")"),"")</f>
        <v/>
      </c>
      <c r="I147" s="3"/>
    </row>
    <row r="148" spans="1:9" s="100" customFormat="1" x14ac:dyDescent="0.25">
      <c r="A148" s="93">
        <f>$D$1+14</f>
        <v>46279</v>
      </c>
      <c r="B148" s="94">
        <v>0.33333333333333331</v>
      </c>
      <c r="C148" s="66" t="str">
        <f ca="1">IFERROR(__xludf.DUMMYFUNCTION("IFERROR(IF(SUMPRODUCT(('Σύνοψη'!$F$2:$F289=$A148)*('Σύνοψη'!$C$2:$C289=C$3)*('Σύνοψη'!$G$2:$G289=$B148))&gt;0,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'Σύνοψη'!$C$2:$C289=C$3)), IF(SUMPRODUCT(('Σύνοψη'!$F$2:$F289=$A148)*('Σύνοψη'!$C$2:$C289=C$3)*('Σύνοψη'!$G$2:$G289&lt;$B148)*('Σύνοψη'!$H$2:$H289&gt;$B148))&gt;0, CHAR(34), """") ), """")"),"")</f>
        <v/>
      </c>
      <c r="D148" s="66" t="str">
        <f ca="1">IFERROR(__xludf.DUMMYFUNCTION("IFERROR(IF(SUMPRODUCT(('Σύνοψη'!$F$2:$F289=$A148)*('Σύνοψη'!$C$2:$C289=D$3)*('Σύνοψη'!$G$2:$G289=$B148))&gt;0,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'Σύνοψη'!$C$2:$C289=D$3)), IF(SUMPRODUCT(('Σύνοψη'!$F$2:$F289=$A148)*('Σύνοψη'!$C$2:$C289=D$3)*('Σύνοψη'!$G$2:$G289&lt;$B148)*('Σύνοψη'!$H$2:$H289&gt;$B148))&gt;0, CHAR(34), """") ), """")"),"")</f>
        <v/>
      </c>
      <c r="E148" s="66" t="str">
        <f ca="1">IFERROR(__xludf.DUMMYFUNCTION("IFERROR(IF(SUMPRODUCT(('Σύνοψη'!$F$2:$F289=$A148)*('Σύνοψη'!$C$2:$C289=E$3)*('Σύνοψη'!$G$2:$G289=$B148))&gt;0,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'Σύνοψη'!$C$2:$C289=E$3)), IF(SUMPRODUCT(('Σύνοψη'!$F$2:$F289=$A148)*('Σύνοψη'!$C$2:$C289=E$3)*('Σύνοψη'!$G$2:$G289&lt;$B148)*('Σύνοψη'!$H$2:$H289&gt;$B148))&gt;0, CHAR(34), """") ), """")"),"")</f>
        <v/>
      </c>
      <c r="F148" s="66" t="str">
        <f ca="1">IFERROR(__xludf.DUMMYFUNCTION("IFERROR(IF(SUMPRODUCT(('Σύνοψη'!$F$2:$F289=$A148)*('Σύνοψη'!$C$2:$C289=F$3)*('Σύνοψη'!$G$2:$G289=$B148))&gt;0,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'Σύνοψη'!$C$2:$C289=F$3)), IF(SUMPRODUCT(('Σύνοψη'!$F$2:$F289=$A148)*('Σύνοψη'!$C$2:$C289=F$3)*('Σύνοψη'!$G$2:$G289&lt;$B148)*('Σύνοψη'!$H$2:$H289&gt;$B148))&gt;0, CHAR(34), """") ), """")"),"")</f>
        <v/>
      </c>
      <c r="G148" s="66" t="str">
        <f ca="1">IFERROR(__xludf.DUMMYFUNCTION("IFERROR(IF(SUMPRODUCT(('Σύνοψη'!$F$2:$F289=$A148)*('Σύνοψη'!$C$2:$C289=G$3)*('Σύνοψη'!$G$2:$G289=$B148))&gt;0,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'Σύνοψη'!$C$2:$C289=G$3)), IF(SUMPRODUCT(('Σύνοψη'!$F$2:$F289=$A148)*('Σύνοψη'!$C$2:$C289=G$3)*('Σύνοψη'!$G$2:$G289&lt;$B148)*('Σύνοψη'!$H$2:$H289&gt;$B148))&gt;0, CHAR(34), """") ), """")"),"")</f>
        <v/>
      </c>
      <c r="H148" s="66" t="str">
        <f ca="1">IFERROR(__xludf.DUMMYFUNCTION("IFERROR(IF(SUMPRODUCT(('Σύνοψη'!$F$2:$F289=$A148)*('Σύνοψη'!$C$2:$C289=H$3)*('Σύνοψη'!$G$2:$G289=$B148))&gt;0, TEXTJOIN(CHAR(10) &amp; ""-----------------------"" &amp; CHAR(10), TRUE, FILTER('Σύνοψη'!$E$2:$E289 &amp; "" - "" &amp; 'Σύνοψη'!$I$2:$I289 &amp; "" ("" &amp; 'Σύνοψη'!$J"&amp;"$2:$J289 &amp; "")"", 'Σύνοψη'!$F$2:$F289=$A148, 'Σύνοψη'!$G$2:$G289=$B148, 'Σύνοψη'!$C$2:$C289=H$3)), IF(SUMPRODUCT(('Σύνοψη'!$F$2:$F289=$A148)*('Σύνοψη'!$C$2:$C289=H$3)*('Σύνοψη'!$G$2:$G289&lt;$B148)*('Σύνοψη'!$H$2:$H289&gt;$B148))&gt;0, CHAR(34), """") ), """")"),"")</f>
        <v/>
      </c>
      <c r="I148" s="3"/>
    </row>
    <row r="149" spans="1:9" s="100" customFormat="1" ht="105" x14ac:dyDescent="0.25">
      <c r="A149" s="95">
        <f t="shared" ref="A149:A161" si="10">$A$148</f>
        <v>46279</v>
      </c>
      <c r="B149" s="89">
        <v>0.375</v>
      </c>
      <c r="C149" s="67" t="str">
        <f ca="1">IFERROR(__xludf.DUMMYFUNCTION("IFERROR(IF(SUMPRODUCT(('Σύνοψη'!$F$2:$F289=$A149)*('Σύνοψη'!$C$2:$C289=C$3)*('Σύνοψη'!$G$2:$G289=$B149))&gt;0,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'Σύνοψη'!$C$2:$C289=C$3)), IF(SUMPRODUCT(('Σύνοψη'!$F$2:$F289=$A149)*('Σύνοψη'!$C$2:$C289=C$3)*('Σύνοψη'!$G$2:$G289&lt;$B149)*('Σύνοψη'!$H$2:$H289&gt;$B149))&gt;0, CHAR(34), """") ), """")"),"Μικροσκοπική Ανατομική ΙΙ (Πρακτικά) - 09:00 - 12:00 (Αμφιθέατρα)")</f>
        <v>Μικροσκοπική Ανατομική ΙΙ (Πρακτικά) - 09:00 - 12:00 (Αμφιθέατρα)</v>
      </c>
      <c r="D149" s="67" t="str">
        <f ca="1">IFERROR(__xludf.DUMMYFUNCTION("IFERROR(IF(SUMPRODUCT(('Σύνοψη'!$F$2:$F289=$A149)*('Σύνοψη'!$C$2:$C289=D$3)*('Σύνοψη'!$G$2:$G289=$B149))&gt;0,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'Σύνοψη'!$C$2:$C289=D$3)), IF(SUMPRODUCT(('Σύνοψη'!$F$2:$F289=$A149)*('Σύνοψη'!$C$2:$C289=D$3)*('Σύνοψη'!$G$2:$G289&lt;$B149)*('Σύνοψη'!$H$2:$H289&gt;$B149))&gt;0, CHAR(34), """") ), """")"),"")</f>
        <v/>
      </c>
      <c r="E149" s="67" t="str">
        <f ca="1">IFERROR(__xludf.DUMMYFUNCTION("IFERROR(IF(SUMPRODUCT(('Σύνοψη'!$F$2:$F289=$A149)*('Σύνοψη'!$C$2:$C289=E$3)*('Σύνοψη'!$G$2:$G289=$B149))&gt;0,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'Σύνοψη'!$C$2:$C289=E$3)), IF(SUMPRODUCT(('Σύνοψη'!$F$2:$F289=$A149)*('Σύνοψη'!$C$2:$C289=E$3)*('Σύνοψη'!$G$2:$G289&lt;$B149)*('Σύνοψη'!$H$2:$H289&gt;$B149))&gt;0, CHAR(34), """") ), """")"),"Παρασιτολογία &amp; Παρασιτικά Νοσήματα ΙΙ (Θεωρία) - 09:00 - 11:00 (Νέες Αίθουσες)")</f>
        <v>Παρασιτολογία &amp; Παρασιτικά Νοσήματα ΙΙ (Θεωρία) - 09:00 - 11:00 (Νέες Αίθουσες)</v>
      </c>
      <c r="F149" s="67" t="str">
        <f ca="1">IFERROR(__xludf.DUMMYFUNCTION("IFERROR(IF(SUMPRODUCT(('Σύνοψη'!$F$2:$F289=$A149)*('Σύνοψη'!$C$2:$C289=F$3)*('Σύνοψη'!$G$2:$G289=$B149))&gt;0,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'Σύνοψη'!$C$2:$C289=F$3)), IF(SUMPRODUCT(('Σύνοψη'!$F$2:$F289=$A149)*('Σύνοψη'!$C$2:$C289=F$3)*('Σύνοψη'!$G$2:$G289&lt;$B149)*('Σύνοψη'!$H$2:$H289&gt;$B149))&gt;0, CHAR(34), """") ), """")"),"")</f>
        <v/>
      </c>
      <c r="G149" s="67" t="str">
        <f ca="1">IFERROR(__xludf.DUMMYFUNCTION("IFERROR(IF(SUMPRODUCT(('Σύνοψη'!$F$2:$F289=$A149)*('Σύνοψη'!$C$2:$C289=G$3)*('Σύνοψη'!$G$2:$G289=$B149))&gt;0,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'Σύνοψη'!$C$2:$C289=G$3)), IF(SUMPRODUCT(('Σύνοψη'!$F$2:$F289=$A149)*('Σύνοψη'!$C$2:$C289=G$3)*('Σύνοψη'!$G$2:$G289&lt;$B149)*('Σύνοψη'!$H$2:$H289&gt;$B149))&gt;0, CHAR(34), """") ), """")"),"Πρακτική Άσκηση στην Παθολογία Παραγωγικών Ζώων ΙΙ - 09:00 - 16:00 (Παθολογική Κλινική)")</f>
        <v>Πρακτική Άσκηση στην Παθολογία Παραγωγικών Ζώων ΙΙ - 09:00 - 16:00 (Παθολογική Κλινική)</v>
      </c>
      <c r="H149" s="67" t="str">
        <f ca="1">IFERROR(__xludf.DUMMYFUNCTION("IFERROR(IF(SUMPRODUCT(('Σύνοψη'!$F$2:$F289=$A149)*('Σύνοψη'!$C$2:$C289=H$3)*('Σύνοψη'!$G$2:$G289=$B149))&gt;0, TEXTJOIN(CHAR(10) &amp; ""-----------------------"" &amp; CHAR(10), TRUE, FILTER('Σύνοψη'!$E$2:$E289 &amp; "" - "" &amp; 'Σύνοψη'!$I$2:$I289 &amp; "" ("" &amp; 'Σύνοψη'!$J"&amp;"$2:$J289 &amp; "")"", 'Σύνοψη'!$F$2:$F289=$A149, 'Σύνοψη'!$G$2:$G289=$B149, 'Σύνοψη'!$C$2:$C289=H$3)), IF(SUMPRODUCT(('Σύνοψη'!$F$2:$F289=$A149)*('Σύνοψη'!$C$2:$C289=H$3)*('Σύνοψη'!$G$2:$G289&lt;$B149)*('Σύνοψη'!$H$2:$H289&gt;$B149))&gt;0, CHAR(34), """") ), """")"),"Μικροσκοπική Ανατομική ΙΙ (ΠΠΣ) (Πρακτικά) - 09:00 - 12:00 (Αμφιθέατρα)
-----------------------
Παθολογία Παραγωγικών (ΠΠΣ) (Πρακτικά) - 09:00 - 16:00 (Παθολογική Κλινική)")</f>
        <v>Μικροσκοπική Ανατομική ΙΙ (ΠΠΣ) (Πρακτικά) - 09:00 - 12:00 (Αμφιθέατρα)
-----------------------
Παθολογία Παραγωγικών (ΠΠΣ) (Πρακτικά) - 09:00 - 16:00 (Παθολογική Κλινική)</v>
      </c>
      <c r="I149" s="3"/>
    </row>
    <row r="150" spans="1:9" s="100" customFormat="1" x14ac:dyDescent="0.25">
      <c r="A150" s="95">
        <f t="shared" si="10"/>
        <v>46279</v>
      </c>
      <c r="B150" s="89">
        <v>0.41666666666666669</v>
      </c>
      <c r="C150" s="67" t="str">
        <f ca="1">IFERROR(__xludf.DUMMYFUNCTION("IFERROR(IF(SUMPRODUCT(('Σύνοψη'!$F$2:$F289=$A150)*('Σύνοψη'!$C$2:$C289=C$3)*('Σύνοψη'!$G$2:$G289=$B150))&gt;0,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'Σύνοψη'!$C$2:$C289=C$3)), IF(SUMPRODUCT(('Σύνοψη'!$F$2:$F289=$A150)*('Σύνοψη'!$C$2:$C289=C$3)*('Σύνοψη'!$G$2:$G289&lt;$B150)*('Σύνοψη'!$H$2:$H289&gt;$B150))&gt;0, CHAR(34), """") ), """")"),"""")</f>
        <v>"</v>
      </c>
      <c r="D150" s="67" t="str">
        <f ca="1">IFERROR(__xludf.DUMMYFUNCTION("IFERROR(IF(SUMPRODUCT(('Σύνοψη'!$F$2:$F289=$A150)*('Σύνοψη'!$C$2:$C289=D$3)*('Σύνοψη'!$G$2:$G289=$B150))&gt;0,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'Σύνοψη'!$C$2:$C289=D$3)), IF(SUMPRODUCT(('Σύνοψη'!$F$2:$F289=$A150)*('Σύνοψη'!$C$2:$C289=D$3)*('Σύνοψη'!$G$2:$G289&lt;$B150)*('Σύνοψη'!$H$2:$H289&gt;$B150))&gt;0, CHAR(34), """") ), """")"),"")</f>
        <v/>
      </c>
      <c r="E150" s="67" t="str">
        <f ca="1">IFERROR(__xludf.DUMMYFUNCTION("IFERROR(IF(SUMPRODUCT(('Σύνοψη'!$F$2:$F289=$A150)*('Σύνοψη'!$C$2:$C289=E$3)*('Σύνοψη'!$G$2:$G289=$B150))&gt;0,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'Σύνοψη'!$C$2:$C289=E$3)), IF(SUMPRODUCT(('Σύνοψη'!$F$2:$F289=$A150)*('Σύνοψη'!$C$2:$C289=E$3)*('Σύνοψη'!$G$2:$G289&lt;$B150)*('Σύνοψη'!$H$2:$H289&gt;$B150))&gt;0, CHAR(34), """") ), """")"),"""")</f>
        <v>"</v>
      </c>
      <c r="F150" s="67" t="str">
        <f ca="1">IFERROR(__xludf.DUMMYFUNCTION("IFERROR(IF(SUMPRODUCT(('Σύνοψη'!$F$2:$F289=$A150)*('Σύνοψη'!$C$2:$C289=F$3)*('Σύνοψη'!$G$2:$G289=$B150))&gt;0,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'Σύνοψη'!$C$2:$C289=F$3)), IF(SUMPRODUCT(('Σύνοψη'!$F$2:$F289=$A150)*('Σύνοψη'!$C$2:$C289=F$3)*('Σύνοψη'!$G$2:$G289&lt;$B150)*('Σύνοψη'!$H$2:$H289&gt;$B150))&gt;0, CHAR(34), """") ), """")"),"")</f>
        <v/>
      </c>
      <c r="G150" s="67" t="str">
        <f ca="1">IFERROR(__xludf.DUMMYFUNCTION("IFERROR(IF(SUMPRODUCT(('Σύνοψη'!$F$2:$F289=$A150)*('Σύνοψη'!$C$2:$C289=G$3)*('Σύνοψη'!$G$2:$G289=$B150))&gt;0,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'Σύνοψη'!$C$2:$C289=G$3)), IF(SUMPRODUCT(('Σύνοψη'!$F$2:$F289=$A150)*('Σύνοψη'!$C$2:$C289=G$3)*('Σύνοψη'!$G$2:$G289&lt;$B150)*('Σύνοψη'!$H$2:$H289&gt;$B150))&gt;0, CHAR(34), """") ), """")"),"""")</f>
        <v>"</v>
      </c>
      <c r="H150" s="67" t="str">
        <f ca="1">IFERROR(__xludf.DUMMYFUNCTION("IFERROR(IF(SUMPRODUCT(('Σύνοψη'!$F$2:$F289=$A150)*('Σύνοψη'!$C$2:$C289=H$3)*('Σύνοψη'!$G$2:$G289=$B150))&gt;0, TEXTJOIN(CHAR(10) &amp; ""-----------------------"" &amp; CHAR(10), TRUE, FILTER('Σύνοψη'!$E$2:$E289 &amp; "" - "" &amp; 'Σύνοψη'!$I$2:$I289 &amp; "" ("" &amp; 'Σύνοψη'!$J"&amp;"$2:$J289 &amp; "")"", 'Σύνοψη'!$F$2:$F289=$A150, 'Σύνοψη'!$G$2:$G289=$B150, 'Σύνοψη'!$C$2:$C289=H$3)), IF(SUMPRODUCT(('Σύνοψη'!$F$2:$F289=$A150)*('Σύνοψη'!$C$2:$C289=H$3)*('Σύνοψη'!$G$2:$G289&lt;$B150)*('Σύνοψη'!$H$2:$H289&gt;$B150))&gt;0, CHAR(34), """") ), """")"),"""")</f>
        <v>"</v>
      </c>
      <c r="I150" s="3"/>
    </row>
    <row r="151" spans="1:9" s="100" customFormat="1" x14ac:dyDescent="0.25">
      <c r="A151" s="95">
        <f t="shared" si="10"/>
        <v>46279</v>
      </c>
      <c r="B151" s="89">
        <v>0.45833333333333331</v>
      </c>
      <c r="C151" s="67" t="str">
        <f ca="1">IFERROR(__xludf.DUMMYFUNCTION("IFERROR(IF(SUMPRODUCT(('Σύνοψη'!$F$2:$F289=$A151)*('Σύνοψη'!$C$2:$C289=C$3)*('Σύνοψη'!$G$2:$G289=$B151))&gt;0,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'Σύνοψη'!$C$2:$C289=C$3)), IF(SUMPRODUCT(('Σύνοψη'!$F$2:$F289=$A151)*('Σύνοψη'!$C$2:$C289=C$3)*('Σύνοψη'!$G$2:$G289&lt;$B151)*('Σύνοψη'!$H$2:$H289&gt;$B151))&gt;0, CHAR(34), """") ), """")"),"""")</f>
        <v>"</v>
      </c>
      <c r="D151" s="67" t="str">
        <f ca="1">IFERROR(__xludf.DUMMYFUNCTION("IFERROR(IF(SUMPRODUCT(('Σύνοψη'!$F$2:$F289=$A151)*('Σύνοψη'!$C$2:$C289=D$3)*('Σύνοψη'!$G$2:$G289=$B151))&gt;0,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'Σύνοψη'!$C$2:$C289=D$3)), IF(SUMPRODUCT(('Σύνοψη'!$F$2:$F289=$A151)*('Σύνοψη'!$C$2:$C289=D$3)*('Σύνοψη'!$G$2:$G289&lt;$B151)*('Σύνοψη'!$H$2:$H289&gt;$B151))&gt;0, CHAR(34), """") ), """")"),"")</f>
        <v/>
      </c>
      <c r="E151" s="67" t="str">
        <f ca="1">IFERROR(__xludf.DUMMYFUNCTION("IFERROR(IF(SUMPRODUCT(('Σύνοψη'!$F$2:$F289=$A151)*('Σύνοψη'!$C$2:$C289=E$3)*('Σύνοψη'!$G$2:$G289=$B151))&gt;0,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'Σύνοψη'!$C$2:$C289=E$3)), IF(SUMPRODUCT(('Σύνοψη'!$F$2:$F289=$A151)*('Σύνοψη'!$C$2:$C289=E$3)*('Σύνοψη'!$G$2:$G289&lt;$B151)*('Σύνοψη'!$H$2:$H289&gt;$B151))&gt;0, CHAR(34), """") ), """")"),"")</f>
        <v/>
      </c>
      <c r="F151" s="67" t="str">
        <f ca="1">IFERROR(__xludf.DUMMYFUNCTION("IFERROR(IF(SUMPRODUCT(('Σύνοψη'!$F$2:$F289=$A151)*('Σύνοψη'!$C$2:$C289=F$3)*('Σύνοψη'!$G$2:$G289=$B151))&gt;0,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'Σύνοψη'!$C$2:$C289=F$3)), IF(SUMPRODUCT(('Σύνοψη'!$F$2:$F289=$A151)*('Σύνοψη'!$C$2:$C289=F$3)*('Σύνοψη'!$G$2:$G289&lt;$B151)*('Σύνοψη'!$H$2:$H289&gt;$B151))&gt;0, CHAR(34), """") ), """")"),"")</f>
        <v/>
      </c>
      <c r="G151" s="67" t="str">
        <f ca="1">IFERROR(__xludf.DUMMYFUNCTION("IFERROR(IF(SUMPRODUCT(('Σύνοψη'!$F$2:$F289=$A151)*('Σύνοψη'!$C$2:$C289=G$3)*('Σύνοψη'!$G$2:$G289=$B151))&gt;0,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'Σύνοψη'!$C$2:$C289=G$3)), IF(SUMPRODUCT(('Σύνοψη'!$F$2:$F289=$A151)*('Σύνοψη'!$C$2:$C289=G$3)*('Σύνοψη'!$G$2:$G289&lt;$B151)*('Σύνοψη'!$H$2:$H289&gt;$B151))&gt;0, CHAR(34), """") ), """")"),"""")</f>
        <v>"</v>
      </c>
      <c r="H151" s="67" t="str">
        <f ca="1">IFERROR(__xludf.DUMMYFUNCTION("IFERROR(IF(SUMPRODUCT(('Σύνοψη'!$F$2:$F289=$A151)*('Σύνοψη'!$C$2:$C289=H$3)*('Σύνοψη'!$G$2:$G289=$B151))&gt;0, TEXTJOIN(CHAR(10) &amp; ""-----------------------"" &amp; CHAR(10), TRUE, FILTER('Σύνοψη'!$E$2:$E289 &amp; "" - "" &amp; 'Σύνοψη'!$I$2:$I289 &amp; "" ("" &amp; 'Σύνοψη'!$J"&amp;"$2:$J289 &amp; "")"", 'Σύνοψη'!$F$2:$F289=$A151, 'Σύνοψη'!$G$2:$G289=$B151, 'Σύνοψη'!$C$2:$C289=H$3)), IF(SUMPRODUCT(('Σύνοψη'!$F$2:$F289=$A151)*('Σύνοψη'!$C$2:$C289=H$3)*('Σύνοψη'!$G$2:$G289&lt;$B151)*('Σύνοψη'!$H$2:$H289&gt;$B151))&gt;0, CHAR(34), """") ), """")"),"""")</f>
        <v>"</v>
      </c>
      <c r="I151" s="3"/>
    </row>
    <row r="152" spans="1:9" s="100" customFormat="1" ht="45" x14ac:dyDescent="0.25">
      <c r="A152" s="95">
        <f t="shared" si="10"/>
        <v>46279</v>
      </c>
      <c r="B152" s="89">
        <v>0.5</v>
      </c>
      <c r="C152" s="67" t="str">
        <f ca="1">IFERROR(__xludf.DUMMYFUNCTION("IFERROR(IF(SUMPRODUCT(('Σύνοψη'!$F$2:$F289=$A152)*('Σύνοψη'!$C$2:$C289=C$3)*('Σύνοψη'!$G$2:$G289=$B152))&gt;0,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'Σύνοψη'!$C$2:$C289=C$3)), IF(SUMPRODUCT(('Σύνοψη'!$F$2:$F289=$A152)*('Σύνοψη'!$C$2:$C289=C$3)*('Σύνοψη'!$G$2:$G289&lt;$B152)*('Σύνοψη'!$H$2:$H289&gt;$B152))&gt;0, CHAR(34), """") ), """")"),"Μικροσκοπική Ανατομική ΙΙ (Θεωρία) - 12:00 - 14:00 (Αμφιθέατρα)")</f>
        <v>Μικροσκοπική Ανατομική ΙΙ (Θεωρία) - 12:00 - 14:00 (Αμφιθέατρα)</v>
      </c>
      <c r="D152" s="67" t="str">
        <f ca="1">IFERROR(__xludf.DUMMYFUNCTION("IFERROR(IF(SUMPRODUCT(('Σύνοψη'!$F$2:$F289=$A152)*('Σύνοψη'!$C$2:$C289=D$3)*('Σύνοψη'!$G$2:$G289=$B152))&gt;0,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'Σύνοψη'!$C$2:$C289=D$3)), IF(SUMPRODUCT(('Σύνοψη'!$F$2:$F289=$A152)*('Σύνοψη'!$C$2:$C289=D$3)*('Σύνοψη'!$G$2:$G289&lt;$B152)*('Σύνοψη'!$H$2:$H289&gt;$B152))&gt;0, CHAR(34), """") ), """")"),"")</f>
        <v/>
      </c>
      <c r="E152" s="67" t="str">
        <f ca="1">IFERROR(__xludf.DUMMYFUNCTION("IFERROR(IF(SUMPRODUCT(('Σύνοψη'!$F$2:$F289=$A152)*('Σύνοψη'!$C$2:$C289=E$3)*('Σύνοψη'!$G$2:$G289=$B152))&gt;0,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'Σύνοψη'!$C$2:$C289=E$3)), IF(SUMPRODUCT(('Σύνοψη'!$F$2:$F289=$A152)*('Σύνοψη'!$C$2:$C289=E$3)*('Σύνοψη'!$G$2:$G289&lt;$B152)*('Σύνοψη'!$H$2:$H289&gt;$B152))&gt;0, CHAR(34), """") ), """")"),"Τοξικολογία - 12:00 - 15:00 (Νέες Αίθουσες)")</f>
        <v>Τοξικολογία - 12:00 - 15:00 (Νέες Αίθουσες)</v>
      </c>
      <c r="F152" s="67" t="str">
        <f ca="1">IFERROR(__xludf.DUMMYFUNCTION("IFERROR(IF(SUMPRODUCT(('Σύνοψη'!$F$2:$F289=$A152)*('Σύνοψη'!$C$2:$C289=F$3)*('Σύνοψη'!$G$2:$G289=$B152))&gt;0,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'Σύνοψη'!$C$2:$C289=F$3)), IF(SUMPRODUCT(('Σύνοψη'!$F$2:$F289=$A152)*('Σύνοψη'!$C$2:$C289=F$3)*('Σύνοψη'!$G$2:$G289&lt;$B152)*('Σύνοψη'!$H$2:$H289&gt;$B152))&gt;0, CHAR(34), """") ), """")"),"")</f>
        <v/>
      </c>
      <c r="G152" s="67" t="str">
        <f ca="1">IFERROR(__xludf.DUMMYFUNCTION("IFERROR(IF(SUMPRODUCT(('Σύνοψη'!$F$2:$F289=$A152)*('Σύνοψη'!$C$2:$C289=G$3)*('Σύνοψη'!$G$2:$G289=$B152))&gt;0,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'Σύνοψη'!$C$2:$C289=G$3)), IF(SUMPRODUCT(('Σύνοψη'!$F$2:$F289=$A152)*('Σύνοψη'!$C$2:$C289=G$3)*('Σύνοψη'!$G$2:$G289&lt;$B152)*('Σύνοψη'!$H$2:$H289&gt;$B152))&gt;0, CHAR(34), """") ), """")"),"""")</f>
        <v>"</v>
      </c>
      <c r="H152" s="67" t="str">
        <f ca="1">IFERROR(__xludf.DUMMYFUNCTION("IFERROR(IF(SUMPRODUCT(('Σύνοψη'!$F$2:$F289=$A152)*('Σύνοψη'!$C$2:$C289=H$3)*('Σύνοψη'!$G$2:$G289=$B152))&gt;0, TEXTJOIN(CHAR(10) &amp; ""-----------------------"" &amp; CHAR(10), TRUE, FILTER('Σύνοψη'!$E$2:$E289 &amp; "" - "" &amp; 'Σύνοψη'!$I$2:$I289 &amp; "" ("" &amp; 'Σύνοψη'!$J"&amp;"$2:$J289 &amp; "")"", 'Σύνοψη'!$F$2:$F289=$A152, 'Σύνοψη'!$G$2:$G289=$B152, 'Σύνοψη'!$C$2:$C289=H$3)), IF(SUMPRODUCT(('Σύνοψη'!$F$2:$F289=$A152)*('Σύνοψη'!$C$2:$C289=H$3)*('Σύνοψη'!$G$2:$G289&lt;$B152)*('Σύνοψη'!$H$2:$H289&gt;$B152))&gt;0, CHAR(34), """") ), """")"),"Μικροσκοπική Ανατομική ΙΙ (ΠΠΣ) (Θεωρία) - 12:00 - 14:00 (Αμφιθέατρα)")</f>
        <v>Μικροσκοπική Ανατομική ΙΙ (ΠΠΣ) (Θεωρία) - 12:00 - 14:00 (Αμφιθέατρα)</v>
      </c>
      <c r="I152" s="3"/>
    </row>
    <row r="153" spans="1:9" s="100" customFormat="1" x14ac:dyDescent="0.25">
      <c r="A153" s="95">
        <f t="shared" si="10"/>
        <v>46279</v>
      </c>
      <c r="B153" s="89">
        <v>0.54166666666666663</v>
      </c>
      <c r="C153" s="67" t="str">
        <f ca="1">IFERROR(__xludf.DUMMYFUNCTION("IFERROR(IF(SUMPRODUCT(('Σύνοψη'!$F$2:$F289=$A153)*('Σύνοψη'!$C$2:$C289=C$3)*('Σύνοψη'!$G$2:$G289=$B153))&gt;0,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'Σύνοψη'!$C$2:$C289=C$3)), IF(SUMPRODUCT(('Σύνοψη'!$F$2:$F289=$A153)*('Σύνοψη'!$C$2:$C289=C$3)*('Σύνοψη'!$G$2:$G289&lt;$B153)*('Σύνοψη'!$H$2:$H289&gt;$B153))&gt;0, CHAR(34), """") ), """")"),"""")</f>
        <v>"</v>
      </c>
      <c r="D153" s="67" t="str">
        <f ca="1">IFERROR(__xludf.DUMMYFUNCTION("IFERROR(IF(SUMPRODUCT(('Σύνοψη'!$F$2:$F289=$A153)*('Σύνοψη'!$C$2:$C289=D$3)*('Σύνοψη'!$G$2:$G289=$B153))&gt;0,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'Σύνοψη'!$C$2:$C289=D$3)), IF(SUMPRODUCT(('Σύνοψη'!$F$2:$F289=$A153)*('Σύνοψη'!$C$2:$C289=D$3)*('Σύνοψη'!$G$2:$G289&lt;$B153)*('Σύνοψη'!$H$2:$H289&gt;$B153))&gt;0, CHAR(34), """") ), """")"),"")</f>
        <v/>
      </c>
      <c r="E153" s="67" t="str">
        <f ca="1">IFERROR(__xludf.DUMMYFUNCTION("IFERROR(IF(SUMPRODUCT(('Σύνοψη'!$F$2:$F289=$A153)*('Σύνοψη'!$C$2:$C289=E$3)*('Σύνοψη'!$G$2:$G289=$B153))&gt;0,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'Σύνοψη'!$C$2:$C289=E$3)), IF(SUMPRODUCT(('Σύνοψη'!$F$2:$F289=$A153)*('Σύνοψη'!$C$2:$C289=E$3)*('Σύνοψη'!$G$2:$G289&lt;$B153)*('Σύνοψη'!$H$2:$H289&gt;$B153))&gt;0, CHAR(34), """") ), """")"),"""")</f>
        <v>"</v>
      </c>
      <c r="F153" s="67" t="str">
        <f ca="1">IFERROR(__xludf.DUMMYFUNCTION("IFERROR(IF(SUMPRODUCT(('Σύνοψη'!$F$2:$F289=$A153)*('Σύνοψη'!$C$2:$C289=F$3)*('Σύνοψη'!$G$2:$G289=$B153))&gt;0,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'Σύνοψη'!$C$2:$C289=F$3)), IF(SUMPRODUCT(('Σύνοψη'!$F$2:$F289=$A153)*('Σύνοψη'!$C$2:$C289=F$3)*('Σύνοψη'!$G$2:$G289&lt;$B153)*('Σύνοψη'!$H$2:$H289&gt;$B153))&gt;0, CHAR(34), """") ), """")"),"")</f>
        <v/>
      </c>
      <c r="G153" s="67" t="str">
        <f ca="1">IFERROR(__xludf.DUMMYFUNCTION("IFERROR(IF(SUMPRODUCT(('Σύνοψη'!$F$2:$F289=$A153)*('Σύνοψη'!$C$2:$C289=G$3)*('Σύνοψη'!$G$2:$G289=$B153))&gt;0,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'Σύνοψη'!$C$2:$C289=G$3)), IF(SUMPRODUCT(('Σύνοψη'!$F$2:$F289=$A153)*('Σύνοψη'!$C$2:$C289=G$3)*('Σύνοψη'!$G$2:$G289&lt;$B153)*('Σύνοψη'!$H$2:$H289&gt;$B153))&gt;0, CHAR(34), """") ), """")"),"""")</f>
        <v>"</v>
      </c>
      <c r="H153" s="67" t="str">
        <f ca="1">IFERROR(__xludf.DUMMYFUNCTION("IFERROR(IF(SUMPRODUCT(('Σύνοψη'!$F$2:$F289=$A153)*('Σύνοψη'!$C$2:$C289=H$3)*('Σύνοψη'!$G$2:$G289=$B153))&gt;0, TEXTJOIN(CHAR(10) &amp; ""-----------------------"" &amp; CHAR(10), TRUE, FILTER('Σύνοψη'!$E$2:$E289 &amp; "" - "" &amp; 'Σύνοψη'!$I$2:$I289 &amp; "" ("" &amp; 'Σύνοψη'!$J"&amp;"$2:$J289 &amp; "")"", 'Σύνοψη'!$F$2:$F289=$A153, 'Σύνοψη'!$G$2:$G289=$B153, 'Σύνοψη'!$C$2:$C289=H$3)), IF(SUMPRODUCT(('Σύνοψη'!$F$2:$F289=$A153)*('Σύνοψη'!$C$2:$C289=H$3)*('Σύνοψη'!$G$2:$G289&lt;$B153)*('Σύνοψη'!$H$2:$H289&gt;$B153))&gt;0, CHAR(34), """") ), """")"),"""")</f>
        <v>"</v>
      </c>
      <c r="I153" s="3"/>
    </row>
    <row r="154" spans="1:9" s="100" customFormat="1" x14ac:dyDescent="0.25">
      <c r="A154" s="95">
        <f t="shared" si="10"/>
        <v>46279</v>
      </c>
      <c r="B154" s="89">
        <v>0.58333333333333337</v>
      </c>
      <c r="C154" s="67" t="str">
        <f ca="1">IFERROR(__xludf.DUMMYFUNCTION("IFERROR(IF(SUMPRODUCT(('Σύνοψη'!$F$2:$F289=$A154)*('Σύνοψη'!$C$2:$C289=C$3)*('Σύνοψη'!$G$2:$G289=$B154))&gt;0,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'Σύνοψη'!$C$2:$C289=C$3)), IF(SUMPRODUCT(('Σύνοψη'!$F$2:$F289=$A154)*('Σύνοψη'!$C$2:$C289=C$3)*('Σύνοψη'!$G$2:$G289&lt;$B154)*('Σύνοψη'!$H$2:$H289&gt;$B154))&gt;0, CHAR(34), """") ), """")"),"")</f>
        <v/>
      </c>
      <c r="D154" s="67" t="str">
        <f ca="1">IFERROR(__xludf.DUMMYFUNCTION("IFERROR(IF(SUMPRODUCT(('Σύνοψη'!$F$2:$F289=$A154)*('Σύνοψη'!$C$2:$C289=D$3)*('Σύνοψη'!$G$2:$G289=$B154))&gt;0,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'Σύνοψη'!$C$2:$C289=D$3)), IF(SUMPRODUCT(('Σύνοψη'!$F$2:$F289=$A154)*('Σύνοψη'!$C$2:$C289=D$3)*('Σύνοψη'!$G$2:$G289&lt;$B154)*('Σύνοψη'!$H$2:$H289&gt;$B154))&gt;0, CHAR(34), """") ), """")"),"")</f>
        <v/>
      </c>
      <c r="E154" s="67" t="str">
        <f ca="1">IFERROR(__xludf.DUMMYFUNCTION("IFERROR(IF(SUMPRODUCT(('Σύνοψη'!$F$2:$F289=$A154)*('Σύνοψη'!$C$2:$C289=E$3)*('Σύνοψη'!$G$2:$G289=$B154))&gt;0,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'Σύνοψη'!$C$2:$C289=E$3)), IF(SUMPRODUCT(('Σύνοψη'!$F$2:$F289=$A154)*('Σύνοψη'!$C$2:$C289=E$3)*('Σύνοψη'!$G$2:$G289&lt;$B154)*('Σύνοψη'!$H$2:$H289&gt;$B154))&gt;0, CHAR(34), """") ), """")"),"""")</f>
        <v>"</v>
      </c>
      <c r="F154" s="67" t="str">
        <f ca="1">IFERROR(__xludf.DUMMYFUNCTION("IFERROR(IF(SUMPRODUCT(('Σύνοψη'!$F$2:$F289=$A154)*('Σύνοψη'!$C$2:$C289=F$3)*('Σύνοψη'!$G$2:$G289=$B154))&gt;0,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'Σύνοψη'!$C$2:$C289=F$3)), IF(SUMPRODUCT(('Σύνοψη'!$F$2:$F289=$A154)*('Σύνοψη'!$C$2:$C289=F$3)*('Σύνοψη'!$G$2:$G289&lt;$B154)*('Σύνοψη'!$H$2:$H289&gt;$B154))&gt;0, CHAR(34), """") ), """")"),"")</f>
        <v/>
      </c>
      <c r="G154" s="67" t="str">
        <f ca="1">IFERROR(__xludf.DUMMYFUNCTION("IFERROR(IF(SUMPRODUCT(('Σύνοψη'!$F$2:$F289=$A154)*('Σύνοψη'!$C$2:$C289=G$3)*('Σύνοψη'!$G$2:$G289=$B154))&gt;0,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'Σύνοψη'!$C$2:$C289=G$3)), IF(SUMPRODUCT(('Σύνοψη'!$F$2:$F289=$A154)*('Σύνοψη'!$C$2:$C289=G$3)*('Σύνοψη'!$G$2:$G289&lt;$B154)*('Σύνοψη'!$H$2:$H289&gt;$B154))&gt;0, CHAR(34), """") ), """")"),"""")</f>
        <v>"</v>
      </c>
      <c r="H154" s="67" t="str">
        <f ca="1">IFERROR(__xludf.DUMMYFUNCTION("IFERROR(IF(SUMPRODUCT(('Σύνοψη'!$F$2:$F289=$A154)*('Σύνοψη'!$C$2:$C289=H$3)*('Σύνοψη'!$G$2:$G289=$B154))&gt;0, TEXTJOIN(CHAR(10) &amp; ""-----------------------"" &amp; CHAR(10), TRUE, FILTER('Σύνοψη'!$E$2:$E289 &amp; "" - "" &amp; 'Σύνοψη'!$I$2:$I289 &amp; "" ("" &amp; 'Σύνοψη'!$J"&amp;"$2:$J289 &amp; "")"", 'Σύνοψη'!$F$2:$F289=$A154, 'Σύνοψη'!$G$2:$G289=$B154, 'Σύνοψη'!$C$2:$C289=H$3)), IF(SUMPRODUCT(('Σύνοψη'!$F$2:$F289=$A154)*('Σύνοψη'!$C$2:$C289=H$3)*('Σύνοψη'!$G$2:$G289&lt;$B154)*('Σύνοψη'!$H$2:$H289&gt;$B154))&gt;0, CHAR(34), """") ), """")"),"""")</f>
        <v>"</v>
      </c>
      <c r="I154" s="3"/>
    </row>
    <row r="155" spans="1:9" s="100" customFormat="1" x14ac:dyDescent="0.25">
      <c r="A155" s="95">
        <f t="shared" si="10"/>
        <v>46279</v>
      </c>
      <c r="B155" s="89">
        <v>0.625</v>
      </c>
      <c r="C155" s="67" t="str">
        <f ca="1">IFERROR(__xludf.DUMMYFUNCTION("IFERROR(IF(SUMPRODUCT(('Σύνοψη'!$F$2:$F289=$A155)*('Σύνοψη'!$C$2:$C289=C$3)*('Σύνοψη'!$G$2:$G289=$B155))&gt;0,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'Σύνοψη'!$C$2:$C289=C$3)), IF(SUMPRODUCT(('Σύνοψη'!$F$2:$F289=$A155)*('Σύνοψη'!$C$2:$C289=C$3)*('Σύνοψη'!$G$2:$G289&lt;$B155)*('Σύνοψη'!$H$2:$H289&gt;$B155))&gt;0, CHAR(34), """") ), """")"),"")</f>
        <v/>
      </c>
      <c r="D155" s="67" t="str">
        <f ca="1">IFERROR(__xludf.DUMMYFUNCTION("IFERROR(IF(SUMPRODUCT(('Σύνοψη'!$F$2:$F289=$A155)*('Σύνοψη'!$C$2:$C289=D$3)*('Σύνοψη'!$G$2:$G289=$B155))&gt;0,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'Σύνοψη'!$C$2:$C289=D$3)), IF(SUMPRODUCT(('Σύνοψη'!$F$2:$F289=$A155)*('Σύνοψη'!$C$2:$C289=D$3)*('Σύνοψη'!$G$2:$G289&lt;$B155)*('Σύνοψη'!$H$2:$H289&gt;$B155))&gt;0, CHAR(34), """") ), """")"),"")</f>
        <v/>
      </c>
      <c r="E155" s="67" t="str">
        <f ca="1">IFERROR(__xludf.DUMMYFUNCTION("IFERROR(IF(SUMPRODUCT(('Σύνοψη'!$F$2:$F289=$A155)*('Σύνοψη'!$C$2:$C289=E$3)*('Σύνοψη'!$G$2:$G289=$B155))&gt;0,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'Σύνοψη'!$C$2:$C289=E$3)), IF(SUMPRODUCT(('Σύνοψη'!$F$2:$F289=$A155)*('Σύνοψη'!$C$2:$C289=E$3)*('Σύνοψη'!$G$2:$G289&lt;$B155)*('Σύνοψη'!$H$2:$H289&gt;$B155))&gt;0, CHAR(34), """") ), """")"),"")</f>
        <v/>
      </c>
      <c r="F155" s="67" t="str">
        <f ca="1">IFERROR(__xludf.DUMMYFUNCTION("IFERROR(IF(SUMPRODUCT(('Σύνοψη'!$F$2:$F289=$A155)*('Σύνοψη'!$C$2:$C289=F$3)*('Σύνοψη'!$G$2:$G289=$B155))&gt;0,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'Σύνοψη'!$C$2:$C289=F$3)), IF(SUMPRODUCT(('Σύνοψη'!$F$2:$F289=$A155)*('Σύνοψη'!$C$2:$C289=F$3)*('Σύνοψη'!$G$2:$G289&lt;$B155)*('Σύνοψη'!$H$2:$H289&gt;$B155))&gt;0, CHAR(34), """") ), """")"),"")</f>
        <v/>
      </c>
      <c r="G155" s="67" t="str">
        <f ca="1">IFERROR(__xludf.DUMMYFUNCTION("IFERROR(IF(SUMPRODUCT(('Σύνοψη'!$F$2:$F289=$A155)*('Σύνοψη'!$C$2:$C289=G$3)*('Σύνοψη'!$G$2:$G289=$B155))&gt;0,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'Σύνοψη'!$C$2:$C289=G$3)), IF(SUMPRODUCT(('Σύνοψη'!$F$2:$F289=$A155)*('Σύνοψη'!$C$2:$C289=G$3)*('Σύνοψη'!$G$2:$G289&lt;$B155)*('Σύνοψη'!$H$2:$H289&gt;$B155))&gt;0, CHAR(34), """") ), """")"),"""")</f>
        <v>"</v>
      </c>
      <c r="H155" s="67" t="str">
        <f ca="1">IFERROR(__xludf.DUMMYFUNCTION("IFERROR(IF(SUMPRODUCT(('Σύνοψη'!$F$2:$F289=$A155)*('Σύνοψη'!$C$2:$C289=H$3)*('Σύνοψη'!$G$2:$G289=$B155))&gt;0, TEXTJOIN(CHAR(10) &amp; ""-----------------------"" &amp; CHAR(10), TRUE, FILTER('Σύνοψη'!$E$2:$E289 &amp; "" - "" &amp; 'Σύνοψη'!$I$2:$I289 &amp; "" ("" &amp; 'Σύνοψη'!$J"&amp;"$2:$J289 &amp; "")"", 'Σύνοψη'!$F$2:$F289=$A155, 'Σύνοψη'!$G$2:$G289=$B155, 'Σύνοψη'!$C$2:$C289=H$3)), IF(SUMPRODUCT(('Σύνοψη'!$F$2:$F289=$A155)*('Σύνοψη'!$C$2:$C289=H$3)*('Σύνοψη'!$G$2:$G289&lt;$B155)*('Σύνοψη'!$H$2:$H289&gt;$B155))&gt;0, CHAR(34), """") ), """")"),"""")</f>
        <v>"</v>
      </c>
      <c r="I155" s="3"/>
    </row>
    <row r="156" spans="1:9" s="100" customFormat="1" ht="75" x14ac:dyDescent="0.25">
      <c r="A156" s="95">
        <f t="shared" si="10"/>
        <v>46279</v>
      </c>
      <c r="B156" s="89">
        <v>0.66666666666666663</v>
      </c>
      <c r="C156" s="67" t="str">
        <f ca="1">IFERROR(__xludf.DUMMYFUNCTION("IFERROR(IF(SUMPRODUCT(('Σύνοψη'!$F$2:$F289=$A156)*('Σύνοψη'!$C$2:$C289=C$3)*('Σύνοψη'!$G$2:$G289=$B156))&gt;0,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'Σύνοψη'!$C$2:$C289=C$3)), IF(SUMPRODUCT(('Σύνοψη'!$F$2:$F289=$A156)*('Σύνοψη'!$C$2:$C289=C$3)*('Σύνοψη'!$G$2:$G289&lt;$B156)*('Σύνοψη'!$H$2:$H289&gt;$B156))&gt;0, CHAR(34), """") ), """")"),"")</f>
        <v/>
      </c>
      <c r="D156" s="67" t="str">
        <f ca="1">IFERROR(__xludf.DUMMYFUNCTION("IFERROR(IF(SUMPRODUCT(('Σύνοψη'!$F$2:$F289=$A156)*('Σύνοψη'!$C$2:$C289=D$3)*('Σύνοψη'!$G$2:$G289=$B156))&gt;0,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'Σύνοψη'!$C$2:$C289=D$3)), IF(SUMPRODUCT(('Σύνοψη'!$F$2:$F289=$A156)*('Σύνοψη'!$C$2:$C289=D$3)*('Σύνοψη'!$G$2:$G289&lt;$B156)*('Σύνοψη'!$H$2:$H289&gt;$B156))&gt;0, CHAR(34), """") ), """")"),"")</f>
        <v/>
      </c>
      <c r="E156" s="67" t="str">
        <f ca="1">IFERROR(__xludf.DUMMYFUNCTION("IFERROR(IF(SUMPRODUCT(('Σύνοψη'!$F$2:$F289=$A156)*('Σύνοψη'!$C$2:$C289=E$3)*('Σύνοψη'!$G$2:$G289=$B156))&gt;0,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'Σύνοψη'!$C$2:$C289=E$3)), IF(SUMPRODUCT(('Σύνοψη'!$F$2:$F289=$A156)*('Σύνοψη'!$C$2:$C289=E$3)*('Σύνοψη'!$G$2:$G289&lt;$B156)*('Σύνοψη'!$H$2:$H289&gt;$B156))&gt;0, CHAR(34), """") ), """")"),"")</f>
        <v/>
      </c>
      <c r="F156" s="67" t="str">
        <f ca="1">IFERROR(__xludf.DUMMYFUNCTION("IFERROR(IF(SUMPRODUCT(('Σύνοψη'!$F$2:$F289=$A156)*('Σύνοψη'!$C$2:$C289=F$3)*('Σύνοψη'!$G$2:$G289=$B156))&gt;0,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'Σύνοψη'!$C$2:$C289=F$3)), IF(SUMPRODUCT(('Σύνοψη'!$F$2:$F289=$A156)*('Σύνοψη'!$C$2:$C289=F$3)*('Σύνοψη'!$G$2:$G289&lt;$B156)*('Σύνοψη'!$H$2:$H289&gt;$B156))&gt;0, CHAR(34), """") ), """")"),"Παθολογία Παραγωγικών Ζώων ΙΙΙ - 16:00 - 18:00 (Αμφιθέατρα)
-----------------------
Παθολογία Παραγωγικών Ζώων ΙV - 16:00 - 18:00 (Αμφιθέατρα)")</f>
        <v>Παθολογία Παραγωγικών Ζώων ΙΙΙ - 16:00 - 18:00 (Αμφιθέατρα)
-----------------------
Παθολογία Παραγωγικών Ζώων ΙV - 16:00 - 18:00 (Αμφιθέατρα)</v>
      </c>
      <c r="G156" s="67" t="str">
        <f ca="1">IFERROR(__xludf.DUMMYFUNCTION("IFERROR(IF(SUMPRODUCT(('Σύνοψη'!$F$2:$F289=$A156)*('Σύνοψη'!$C$2:$C289=G$3)*('Σύνοψη'!$G$2:$G289=$B156))&gt;0,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'Σύνοψη'!$C$2:$C289=G$3)), IF(SUMPRODUCT(('Σύνοψη'!$F$2:$F289=$A156)*('Σύνοψη'!$C$2:$C289=G$3)*('Σύνοψη'!$G$2:$G289&lt;$B156)*('Σύνοψη'!$H$2:$H289&gt;$B156))&gt;0, CHAR(34), """") ), """")"),"Εξειδικευμένα Μαθήματα Αναπαραγωγής Ζώων Συντροφιάς - 16:00 - 18:00 (Αμφιθέατρα)")</f>
        <v>Εξειδικευμένα Μαθήματα Αναπαραγωγής Ζώων Συντροφιάς - 16:00 - 18:00 (Αμφιθέατρα)</v>
      </c>
      <c r="H156" s="67" t="str">
        <f ca="1">IFERROR(__xludf.DUMMYFUNCTION("IFERROR(IF(SUMPRODUCT(('Σύνοψη'!$F$2:$F289=$A156)*('Σύνοψη'!$C$2:$C289=H$3)*('Σύνοψη'!$G$2:$G289=$B156))&gt;0, TEXTJOIN(CHAR(10) &amp; ""-----------------------"" &amp; CHAR(10), TRUE, FILTER('Σύνοψη'!$E$2:$E289 &amp; "" - "" &amp; 'Σύνοψη'!$I$2:$I289 &amp; "" ("" &amp; 'Σύνοψη'!$J"&amp;"$2:$J289 &amp; "")"", 'Σύνοψη'!$F$2:$F289=$A156, 'Σύνοψη'!$G$2:$G289=$B156, 'Σύνοψη'!$C$2:$C289=H$3)), IF(SUMPRODUCT(('Σύνοψη'!$F$2:$F289=$A156)*('Σύνοψη'!$C$2:$C289=H$3)*('Σύνοψη'!$G$2:$G289&lt;$B156)*('Σύνοψη'!$H$2:$H289&gt;$B156))&gt;0, CHAR(34), """") ), """")"),"")</f>
        <v/>
      </c>
      <c r="I156" s="3"/>
    </row>
    <row r="157" spans="1:9" s="100" customFormat="1" x14ac:dyDescent="0.25">
      <c r="A157" s="95">
        <f t="shared" si="10"/>
        <v>46279</v>
      </c>
      <c r="B157" s="89">
        <v>0.70833333333333337</v>
      </c>
      <c r="C157" s="67" t="str">
        <f ca="1">IFERROR(__xludf.DUMMYFUNCTION("IFERROR(IF(SUMPRODUCT(('Σύνοψη'!$F$2:$F289=$A157)*('Σύνοψη'!$C$2:$C289=C$3)*('Σύνοψη'!$G$2:$G289=$B157))&gt;0,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'Σύνοψη'!$C$2:$C289=C$3)), IF(SUMPRODUCT(('Σύνοψη'!$F$2:$F289=$A157)*('Σύνοψη'!$C$2:$C289=C$3)*('Σύνοψη'!$G$2:$G289&lt;$B157)*('Σύνοψη'!$H$2:$H289&gt;$B157))&gt;0, CHAR(34), """") ), """")"),"")</f>
        <v/>
      </c>
      <c r="D157" s="67" t="str">
        <f ca="1">IFERROR(__xludf.DUMMYFUNCTION("IFERROR(IF(SUMPRODUCT(('Σύνοψη'!$F$2:$F289=$A157)*('Σύνοψη'!$C$2:$C289=D$3)*('Σύνοψη'!$G$2:$G289=$B157))&gt;0,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'Σύνοψη'!$C$2:$C289=D$3)), IF(SUMPRODUCT(('Σύνοψη'!$F$2:$F289=$A157)*('Σύνοψη'!$C$2:$C289=D$3)*('Σύνοψη'!$G$2:$G289&lt;$B157)*('Σύνοψη'!$H$2:$H289&gt;$B157))&gt;0, CHAR(34), """") ), """")"),"")</f>
        <v/>
      </c>
      <c r="E157" s="67" t="str">
        <f ca="1">IFERROR(__xludf.DUMMYFUNCTION("IFERROR(IF(SUMPRODUCT(('Σύνοψη'!$F$2:$F289=$A157)*('Σύνοψη'!$C$2:$C289=E$3)*('Σύνοψη'!$G$2:$G289=$B157))&gt;0,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'Σύνοψη'!$C$2:$C289=E$3)), IF(SUMPRODUCT(('Σύνοψη'!$F$2:$F289=$A157)*('Σύνοψη'!$C$2:$C289=E$3)*('Σύνοψη'!$G$2:$G289&lt;$B157)*('Σύνοψη'!$H$2:$H289&gt;$B157))&gt;0, CHAR(34), """") ), """")"),"")</f>
        <v/>
      </c>
      <c r="F157" s="67" t="str">
        <f ca="1">IFERROR(__xludf.DUMMYFUNCTION("IFERROR(IF(SUMPRODUCT(('Σύνοψη'!$F$2:$F289=$A157)*('Σύνοψη'!$C$2:$C289=F$3)*('Σύνοψη'!$G$2:$G289=$B157))&gt;0,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'Σύνοψη'!$C$2:$C289=F$3)), IF(SUMPRODUCT(('Σύνοψη'!$F$2:$F289=$A157)*('Σύνοψη'!$C$2:$C289=F$3)*('Σύνοψη'!$G$2:$G289&lt;$B157)*('Σύνοψη'!$H$2:$H289&gt;$B157))&gt;0, CHAR(34), """") ), """")"),"""")</f>
        <v>"</v>
      </c>
      <c r="G157" s="67" t="str">
        <f ca="1">IFERROR(__xludf.DUMMYFUNCTION("IFERROR(IF(SUMPRODUCT(('Σύνοψη'!$F$2:$F289=$A157)*('Σύνοψη'!$C$2:$C289=G$3)*('Σύνοψη'!$G$2:$G289=$B157))&gt;0,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'Σύνοψη'!$C$2:$C289=G$3)), IF(SUMPRODUCT(('Σύνοψη'!$F$2:$F289=$A157)*('Σύνοψη'!$C$2:$C289=G$3)*('Σύνοψη'!$G$2:$G289&lt;$B157)*('Σύνοψη'!$H$2:$H289&gt;$B157))&gt;0, CHAR(34), """") ), """")"),"""")</f>
        <v>"</v>
      </c>
      <c r="H157" s="67" t="str">
        <f ca="1">IFERROR(__xludf.DUMMYFUNCTION("IFERROR(IF(SUMPRODUCT(('Σύνοψη'!$F$2:$F289=$A157)*('Σύνοψη'!$C$2:$C289=H$3)*('Σύνοψη'!$G$2:$G289=$B157))&gt;0, TEXTJOIN(CHAR(10) &amp; ""-----------------------"" &amp; CHAR(10), TRUE, FILTER('Σύνοψη'!$E$2:$E289 &amp; "" - "" &amp; 'Σύνοψη'!$I$2:$I289 &amp; "" ("" &amp; 'Σύνοψη'!$J"&amp;"$2:$J289 &amp; "")"", 'Σύνοψη'!$F$2:$F289=$A157, 'Σύνοψη'!$G$2:$G289=$B157, 'Σύνοψη'!$C$2:$C289=H$3)), IF(SUMPRODUCT(('Σύνοψη'!$F$2:$F289=$A157)*('Σύνοψη'!$C$2:$C289=H$3)*('Σύνοψη'!$G$2:$G289&lt;$B157)*('Σύνοψη'!$H$2:$H289&gt;$B157))&gt;0, CHAR(34), """") ), """")"),"")</f>
        <v/>
      </c>
      <c r="I157" s="3"/>
    </row>
    <row r="158" spans="1:9" s="100" customFormat="1" ht="30" x14ac:dyDescent="0.25">
      <c r="A158" s="95">
        <f t="shared" si="10"/>
        <v>46279</v>
      </c>
      <c r="B158" s="89">
        <v>0.75</v>
      </c>
      <c r="C158" s="67" t="str">
        <f ca="1">IFERROR(__xludf.DUMMYFUNCTION("IFERROR(IF(SUMPRODUCT(('Σύνοψη'!$F$2:$F289=$A158)*('Σύνοψη'!$C$2:$C289=C$3)*('Σύνοψη'!$G$2:$G289=$B158))&gt;0,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'Σύνοψη'!$C$2:$C289=C$3)), IF(SUMPRODUCT(('Σύνοψη'!$F$2:$F289=$A158)*('Σύνοψη'!$C$2:$C289=C$3)*('Σύνοψη'!$G$2:$G289&lt;$B158)*('Σύνοψη'!$H$2:$H289&gt;$B158))&gt;0, CHAR(34), """") ), """")"),"")</f>
        <v/>
      </c>
      <c r="D158" s="67" t="str">
        <f ca="1">IFERROR(__xludf.DUMMYFUNCTION("IFERROR(IF(SUMPRODUCT(('Σύνοψη'!$F$2:$F289=$A158)*('Σύνοψη'!$C$2:$C289=D$3)*('Σύνοψη'!$G$2:$G289=$B158))&gt;0,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'Σύνοψη'!$C$2:$C289=D$3)), IF(SUMPRODUCT(('Σύνοψη'!$F$2:$F289=$A158)*('Σύνοψη'!$C$2:$C289=D$3)*('Σύνοψη'!$G$2:$G289&lt;$B158)*('Σύνοψη'!$H$2:$H289&gt;$B158))&gt;0, CHAR(34), """") ), """")"),"Διαγνωστική Μικροβιολογία - 18:00 - 21:00 (Αμφιθέατρα)")</f>
        <v>Διαγνωστική Μικροβιολογία - 18:00 - 21:00 (Αμφιθέατρα)</v>
      </c>
      <c r="E158" s="67" t="str">
        <f ca="1">IFERROR(__xludf.DUMMYFUNCTION("IFERROR(IF(SUMPRODUCT(('Σύνοψη'!$F$2:$F289=$A158)*('Σύνοψη'!$C$2:$C289=E$3)*('Σύνοψη'!$G$2:$G289=$B158))&gt;0,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'Σύνοψη'!$C$2:$C289=E$3)), IF(SUMPRODUCT(('Σύνοψη'!$F$2:$F289=$A158)*('Σύνοψη'!$C$2:$C289=E$3)*('Σύνοψη'!$G$2:$G289&lt;$B158)*('Σύνοψη'!$H$2:$H289&gt;$B158))&gt;0, CHAR(34), """") ), """")"),"")</f>
        <v/>
      </c>
      <c r="F158" s="67" t="str">
        <f ca="1">IFERROR(__xludf.DUMMYFUNCTION("IFERROR(IF(SUMPRODUCT(('Σύνοψη'!$F$2:$F289=$A158)*('Σύνοψη'!$C$2:$C289=F$3)*('Σύνοψη'!$G$2:$G289=$B158))&gt;0,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'Σύνοψη'!$C$2:$C289=F$3)), IF(SUMPRODUCT(('Σύνοψη'!$F$2:$F289=$A158)*('Σύνοψη'!$C$2:$C289=F$3)*('Σύνοψη'!$G$2:$G289&lt;$B158)*('Σύνοψη'!$H$2:$H289&gt;$B158))&gt;0, CHAR(34), """") ), """")"),"")</f>
        <v/>
      </c>
      <c r="G158" s="67" t="str">
        <f ca="1">IFERROR(__xludf.DUMMYFUNCTION("IFERROR(IF(SUMPRODUCT(('Σύνοψη'!$F$2:$F289=$A158)*('Σύνοψη'!$C$2:$C289=G$3)*('Σύνοψη'!$G$2:$G289=$B158))&gt;0,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'Σύνοψη'!$C$2:$C289=G$3)), IF(SUMPRODUCT(('Σύνοψη'!$F$2:$F289=$A158)*('Σύνοψη'!$C$2:$C289=G$3)*('Σύνοψη'!$G$2:$G289&lt;$B158)*('Σύνοψη'!$H$2:$H289&gt;$B158))&gt;0, CHAR(34), """") ), """")"),"")</f>
        <v/>
      </c>
      <c r="H158" s="67" t="str">
        <f ca="1">IFERROR(__xludf.DUMMYFUNCTION("IFERROR(IF(SUMPRODUCT(('Σύνοψη'!$F$2:$F289=$A158)*('Σύνοψη'!$C$2:$C289=H$3)*('Σύνοψη'!$G$2:$G289=$B158))&gt;0, TEXTJOIN(CHAR(10) &amp; ""-----------------------"" &amp; CHAR(10), TRUE, FILTER('Σύνοψη'!$E$2:$E289 &amp; "" - "" &amp; 'Σύνοψη'!$I$2:$I289 &amp; "" ("" &amp; 'Σύνοψη'!$J"&amp;"$2:$J289 &amp; "")"", 'Σύνοψη'!$F$2:$F289=$A158, 'Σύνοψη'!$G$2:$G289=$B158, 'Σύνοψη'!$C$2:$C289=H$3)), IF(SUMPRODUCT(('Σύνοψη'!$F$2:$F289=$A158)*('Σύνοψη'!$C$2:$C289=H$3)*('Σύνοψη'!$G$2:$G289&lt;$B158)*('Σύνοψη'!$H$2:$H289&gt;$B158))&gt;0, CHAR(34), """") ), """")"),"Μικροβιολογια 2 (ΠΠΣ) - 18:00 - 21:00 (Αμφιθέατρα)")</f>
        <v>Μικροβιολογια 2 (ΠΠΣ) - 18:00 - 21:00 (Αμφιθέατρα)</v>
      </c>
      <c r="I158" s="3"/>
    </row>
    <row r="159" spans="1:9" s="100" customFormat="1" ht="60" x14ac:dyDescent="0.25">
      <c r="A159" s="95">
        <f t="shared" si="10"/>
        <v>46279</v>
      </c>
      <c r="B159" s="89">
        <v>0.79166666666666663</v>
      </c>
      <c r="C159" s="67" t="str">
        <f ca="1">IFERROR(__xludf.DUMMYFUNCTION("IFERROR(IF(SUMPRODUCT(('Σύνοψη'!$F$2:$F289=$A159)*('Σύνοψη'!$C$2:$C289=C$3)*('Σύνοψη'!$G$2:$G289=$B159))&gt;0,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'Σύνοψη'!$C$2:$C289=C$3)), IF(SUMPRODUCT(('Σύνοψη'!$F$2:$F289=$A159)*('Σύνοψη'!$C$2:$C289=C$3)*('Σύνοψη'!$G$2:$G289&lt;$B159)*('Σύνοψη'!$H$2:$H289&gt;$B159))&gt;0, CHAR(34), """") ), """")"),"")</f>
        <v/>
      </c>
      <c r="D159" s="67" t="str">
        <f ca="1">IFERROR(__xludf.DUMMYFUNCTION("IFERROR(IF(SUMPRODUCT(('Σύνοψη'!$F$2:$F289=$A159)*('Σύνοψη'!$C$2:$C289=D$3)*('Σύνοψη'!$G$2:$G289=$B159))&gt;0,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'Σύνοψη'!$C$2:$C289=D$3)), IF(SUMPRODUCT(('Σύνοψη'!$F$2:$F289=$A159)*('Σύνοψη'!$C$2:$C289=D$3)*('Σύνοψη'!$G$2:$G289&lt;$B159)*('Σύνοψη'!$H$2:$H289&gt;$B159))&gt;0, CHAR(34), """") ), """")"),"""")</f>
        <v>"</v>
      </c>
      <c r="E159" s="67" t="str">
        <f ca="1">IFERROR(__xludf.DUMMYFUNCTION("IFERROR(IF(SUMPRODUCT(('Σύνοψη'!$F$2:$F289=$A159)*('Σύνοψη'!$C$2:$C289=E$3)*('Σύνοψη'!$G$2:$G289=$B159))&gt;0,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'Σύνοψη'!$C$2:$C289=E$3)), IF(SUMPRODUCT(('Σύνοψη'!$F$2:$F289=$A159)*('Σύνοψη'!$C$2:$C289=E$3)*('Σύνοψη'!$G$2:$G289&lt;$B159)*('Σύνοψη'!$H$2:$H289&gt;$B159))&gt;0, CHAR(34), """") ), """")"),"")</f>
        <v/>
      </c>
      <c r="F159" s="67" t="str">
        <f ca="1">IFERROR(__xludf.DUMMYFUNCTION("IFERROR(IF(SUMPRODUCT(('Σύνοψη'!$F$2:$F289=$A159)*('Σύνοψη'!$C$2:$C289=F$3)*('Σύνοψη'!$G$2:$G289=$B159))&gt;0,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'Σύνοψη'!$C$2:$C289=F$3)), IF(SUMPRODUCT(('Σύνοψη'!$F$2:$F289=$A159)*('Σύνοψη'!$C$2:$C289=F$3)*('Σύνοψη'!$G$2:$G289&lt;$B159)*('Σύνοψη'!$H$2:$H289&gt;$B159))&gt;0, CHAR(34), """") ), """")"),"")</f>
        <v/>
      </c>
      <c r="G159" s="67" t="str">
        <f ca="1">IFERROR(__xludf.DUMMYFUNCTION("IFERROR(IF(SUMPRODUCT(('Σύνοψη'!$F$2:$F289=$A159)*('Σύνοψη'!$C$2:$C289=G$3)*('Σύνοψη'!$G$2:$G289=$B159))&gt;0,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'Σύνοψη'!$C$2:$C289=G$3)), IF(SUMPRODUCT(('Σύνοψη'!$F$2:$F289=$A159)*('Σύνοψη'!$C$2:$C289=G$3)*('Σύνοψη'!$G$2:$G289&lt;$B159)*('Σύνοψη'!$H$2:$H289&gt;$B159))&gt;0, CHAR(34), """") ), """")"),"Εξειδικευμένα Μαθήματα Αναπαραγωγής Μικρών Μηρυκαστικών - 19:00 - 20:00 (Αίθουσα Έναντι Χειρουργικής)")</f>
        <v>Εξειδικευμένα Μαθήματα Αναπαραγωγής Μικρών Μηρυκαστικών - 19:00 - 20:00 (Αίθουσα Έναντι Χειρουργικής)</v>
      </c>
      <c r="H159" s="67" t="str">
        <f ca="1">IFERROR(__xludf.DUMMYFUNCTION("IFERROR(IF(SUMPRODUCT(('Σύνοψη'!$F$2:$F289=$A159)*('Σύνοψη'!$C$2:$C289=H$3)*('Σύνοψη'!$G$2:$G289=$B159))&gt;0, TEXTJOIN(CHAR(10) &amp; ""-----------------------"" &amp; CHAR(10), TRUE, FILTER('Σύνοψη'!$E$2:$E289 &amp; "" - "" &amp; 'Σύνοψη'!$I$2:$I289 &amp; "" ("" &amp; 'Σύνοψη'!$J"&amp;"$2:$J289 &amp; "")"", 'Σύνοψη'!$F$2:$F289=$A159, 'Σύνοψη'!$G$2:$G289=$B159, 'Σύνοψη'!$C$2:$C289=H$3)), IF(SUMPRODUCT(('Σύνοψη'!$F$2:$F289=$A159)*('Σύνοψη'!$C$2:$C289=H$3)*('Σύνοψη'!$G$2:$G289&lt;$B159)*('Σύνοψη'!$H$2:$H289&gt;$B159))&gt;0, CHAR(34), """") ), """")"),"""")</f>
        <v>"</v>
      </c>
      <c r="I159" s="3"/>
    </row>
    <row r="160" spans="1:9" s="100" customFormat="1" x14ac:dyDescent="0.25">
      <c r="A160" s="95">
        <f t="shared" si="10"/>
        <v>46279</v>
      </c>
      <c r="B160" s="89">
        <v>0.83333333333333337</v>
      </c>
      <c r="C160" s="67" t="str">
        <f ca="1">IFERROR(__xludf.DUMMYFUNCTION("IFERROR(IF(SUMPRODUCT(('Σύνοψη'!$F$2:$F289=$A160)*('Σύνοψη'!$C$2:$C289=C$3)*('Σύνοψη'!$G$2:$G289=$B160))&gt;0,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'Σύνοψη'!$C$2:$C289=C$3)), IF(SUMPRODUCT(('Σύνοψη'!$F$2:$F289=$A160)*('Σύνοψη'!$C$2:$C289=C$3)*('Σύνοψη'!$G$2:$G289&lt;$B160)*('Σύνοψη'!$H$2:$H289&gt;$B160))&gt;0, CHAR(34), """") ), """")"),"")</f>
        <v/>
      </c>
      <c r="D160" s="67" t="str">
        <f ca="1">IFERROR(__xludf.DUMMYFUNCTION("IFERROR(IF(SUMPRODUCT(('Σύνοψη'!$F$2:$F289=$A160)*('Σύνοψη'!$C$2:$C289=D$3)*('Σύνοψη'!$G$2:$G289=$B160))&gt;0,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'Σύνοψη'!$C$2:$C289=D$3)), IF(SUMPRODUCT(('Σύνοψη'!$F$2:$F289=$A160)*('Σύνοψη'!$C$2:$C289=D$3)*('Σύνοψη'!$G$2:$G289&lt;$B160)*('Σύνοψη'!$H$2:$H289&gt;$B160))&gt;0, CHAR(34), """") ), """")"),"""")</f>
        <v>"</v>
      </c>
      <c r="E160" s="67" t="str">
        <f ca="1">IFERROR(__xludf.DUMMYFUNCTION("IFERROR(IF(SUMPRODUCT(('Σύνοψη'!$F$2:$F289=$A160)*('Σύνοψη'!$C$2:$C289=E$3)*('Σύνοψη'!$G$2:$G289=$B160))&gt;0,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'Σύνοψη'!$C$2:$C289=E$3)), IF(SUMPRODUCT(('Σύνοψη'!$F$2:$F289=$A160)*('Σύνοψη'!$C$2:$C289=E$3)*('Σύνοψη'!$G$2:$G289&lt;$B160)*('Σύνοψη'!$H$2:$H289&gt;$B160))&gt;0, CHAR(34), """") ), """")"),"")</f>
        <v/>
      </c>
      <c r="F160" s="67" t="str">
        <f ca="1">IFERROR(__xludf.DUMMYFUNCTION("IFERROR(IF(SUMPRODUCT(('Σύνοψη'!$F$2:$F289=$A160)*('Σύνοψη'!$C$2:$C289=F$3)*('Σύνοψη'!$G$2:$G289=$B160))&gt;0,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'Σύνοψη'!$C$2:$C289=F$3)), IF(SUMPRODUCT(('Σύνοψη'!$F$2:$F289=$A160)*('Σύνοψη'!$C$2:$C289=F$3)*('Σύνοψη'!$G$2:$G289&lt;$B160)*('Σύνοψη'!$H$2:$H289&gt;$B160))&gt;0, CHAR(34), """") ), """")"),"")</f>
        <v/>
      </c>
      <c r="G160" s="67" t="str">
        <f ca="1">IFERROR(__xludf.DUMMYFUNCTION("IFERROR(IF(SUMPRODUCT(('Σύνοψη'!$F$2:$F289=$A160)*('Σύνοψη'!$C$2:$C289=G$3)*('Σύνοψη'!$G$2:$G289=$B160))&gt;0,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'Σύνοψη'!$C$2:$C289=G$3)), IF(SUMPRODUCT(('Σύνοψη'!$F$2:$F289=$A160)*('Σύνοψη'!$C$2:$C289=G$3)*('Σύνοψη'!$G$2:$G289&lt;$B160)*('Σύνοψη'!$H$2:$H289&gt;$B160))&gt;0, CHAR(34), """") ), """")"),"")</f>
        <v/>
      </c>
      <c r="H160" s="67" t="str">
        <f ca="1">IFERROR(__xludf.DUMMYFUNCTION("IFERROR(IF(SUMPRODUCT(('Σύνοψη'!$F$2:$F289=$A160)*('Σύνοψη'!$C$2:$C289=H$3)*('Σύνοψη'!$G$2:$G289=$B160))&gt;0, TEXTJOIN(CHAR(10) &amp; ""-----------------------"" &amp; CHAR(10), TRUE, FILTER('Σύνοψη'!$E$2:$E289 &amp; "" - "" &amp; 'Σύνοψη'!$I$2:$I289 &amp; "" ("" &amp; 'Σύνοψη'!$J"&amp;"$2:$J289 &amp; "")"", 'Σύνοψη'!$F$2:$F289=$A160, 'Σύνοψη'!$G$2:$G289=$B160, 'Σύνοψη'!$C$2:$C289=H$3)), IF(SUMPRODUCT(('Σύνοψη'!$F$2:$F289=$A160)*('Σύνοψη'!$C$2:$C289=H$3)*('Σύνοψη'!$G$2:$G289&lt;$B160)*('Σύνοψη'!$H$2:$H289&gt;$B160))&gt;0, CHAR(34), """") ), """")"),"""")</f>
        <v>"</v>
      </c>
      <c r="I160" s="3"/>
    </row>
    <row r="161" spans="1:9" s="100" customFormat="1" x14ac:dyDescent="0.25">
      <c r="A161" s="95">
        <f t="shared" si="10"/>
        <v>46279</v>
      </c>
      <c r="B161" s="89">
        <v>0.875</v>
      </c>
      <c r="C161" s="67" t="str">
        <f ca="1">IFERROR(__xludf.DUMMYFUNCTION("IFERROR(IF(SUMPRODUCT(('Σύνοψη'!$F$2:$F289=$A161)*('Σύνοψη'!$C$2:$C289=C$3)*('Σύνοψη'!$G$2:$G289=$B161))&gt;0,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'Σύνοψη'!$C$2:$C289=C$3)), IF(SUMPRODUCT(('Σύνοψη'!$F$2:$F289=$A161)*('Σύνοψη'!$C$2:$C289=C$3)*('Σύνοψη'!$G$2:$G289&lt;$B161)*('Σύνοψη'!$H$2:$H289&gt;$B161))&gt;0, CHAR(34), """") ), """")"),"")</f>
        <v/>
      </c>
      <c r="D161" s="67" t="str">
        <f ca="1">IFERROR(__xludf.DUMMYFUNCTION("IFERROR(IF(SUMPRODUCT(('Σύνοψη'!$F$2:$F289=$A161)*('Σύνοψη'!$C$2:$C289=D$3)*('Σύνοψη'!$G$2:$G289=$B161))&gt;0,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'Σύνοψη'!$C$2:$C289=D$3)), IF(SUMPRODUCT(('Σύνοψη'!$F$2:$F289=$A161)*('Σύνοψη'!$C$2:$C289=D$3)*('Σύνοψη'!$G$2:$G289&lt;$B161)*('Σύνοψη'!$H$2:$H289&gt;$B161))&gt;0, CHAR(34), """") ), """")"),"")</f>
        <v/>
      </c>
      <c r="E161" s="67" t="str">
        <f ca="1">IFERROR(__xludf.DUMMYFUNCTION("IFERROR(IF(SUMPRODUCT(('Σύνοψη'!$F$2:$F289=$A161)*('Σύνοψη'!$C$2:$C289=E$3)*('Σύνοψη'!$G$2:$G289=$B161))&gt;0,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'Σύνοψη'!$C$2:$C289=E$3)), IF(SUMPRODUCT(('Σύνοψη'!$F$2:$F289=$A161)*('Σύνοψη'!$C$2:$C289=E$3)*('Σύνοψη'!$G$2:$G289&lt;$B161)*('Σύνοψη'!$H$2:$H289&gt;$B161))&gt;0, CHAR(34), """") ), """")"),"")</f>
        <v/>
      </c>
      <c r="F161" s="67" t="str">
        <f ca="1">IFERROR(__xludf.DUMMYFUNCTION("IFERROR(IF(SUMPRODUCT(('Σύνοψη'!$F$2:$F289=$A161)*('Σύνοψη'!$C$2:$C289=F$3)*('Σύνοψη'!$G$2:$G289=$B161))&gt;0,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'Σύνοψη'!$C$2:$C289=F$3)), IF(SUMPRODUCT(('Σύνοψη'!$F$2:$F289=$A161)*('Σύνοψη'!$C$2:$C289=F$3)*('Σύνοψη'!$G$2:$G289&lt;$B161)*('Σύνοψη'!$H$2:$H289&gt;$B161))&gt;0, CHAR(34), """") ), """")"),"")</f>
        <v/>
      </c>
      <c r="G161" s="67" t="str">
        <f ca="1">IFERROR(__xludf.DUMMYFUNCTION("IFERROR(IF(SUMPRODUCT(('Σύνοψη'!$F$2:$F289=$A161)*('Σύνοψη'!$C$2:$C289=G$3)*('Σύνοψη'!$G$2:$G289=$B161))&gt;0,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'Σύνοψη'!$C$2:$C289=G$3)), IF(SUMPRODUCT(('Σύνοψη'!$F$2:$F289=$A161)*('Σύνοψη'!$C$2:$C289=G$3)*('Σύνοψη'!$G$2:$G289&lt;$B161)*('Σύνοψη'!$H$2:$H289&gt;$B161))&gt;0, CHAR(34), """") ), """")"),"")</f>
        <v/>
      </c>
      <c r="H161" s="67" t="str">
        <f ca="1">IFERROR(__xludf.DUMMYFUNCTION("IFERROR(IF(SUMPRODUCT(('Σύνοψη'!$F$2:$F289=$A161)*('Σύνοψη'!$C$2:$C289=H$3)*('Σύνοψη'!$G$2:$G289=$B161))&gt;0, TEXTJOIN(CHAR(10) &amp; ""-----------------------"" &amp; CHAR(10), TRUE, FILTER('Σύνοψη'!$E$2:$E289 &amp; "" - "" &amp; 'Σύνοψη'!$I$2:$I289 &amp; "" ("" &amp; 'Σύνοψη'!$J"&amp;"$2:$J289 &amp; "")"", 'Σύνοψη'!$F$2:$F289=$A161, 'Σύνοψη'!$G$2:$G289=$B161, 'Σύνοψη'!$C$2:$C289=H$3)), IF(SUMPRODUCT(('Σύνοψη'!$F$2:$F289=$A161)*('Σύνοψη'!$C$2:$C289=H$3)*('Σύνοψη'!$G$2:$G289&lt;$B161)*('Σύνοψη'!$H$2:$H289&gt;$B161))&gt;0, CHAR(34), """") ), """")"),"")</f>
        <v/>
      </c>
      <c r="I161" s="3"/>
    </row>
    <row r="162" spans="1:9" s="100" customFormat="1" x14ac:dyDescent="0.25">
      <c r="A162" s="93">
        <f>$D$1+15</f>
        <v>46280</v>
      </c>
      <c r="B162" s="94">
        <v>0.33333333333333331</v>
      </c>
      <c r="C162" s="66" t="str">
        <f ca="1">IFERROR(__xludf.DUMMYFUNCTION("IFERROR(IF(SUMPRODUCT(('Σύνοψη'!$F$2:$F289=$A162)*('Σύνοψη'!$C$2:$C289=C$3)*('Σύνοψη'!$G$2:$G289=$B162))&gt;0,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'Σύνοψη'!$C$2:$C289=C$3)), IF(SUMPRODUCT(('Σύνοψη'!$F$2:$F289=$A162)*('Σύνοψη'!$C$2:$C289=C$3)*('Σύνοψη'!$G$2:$G289&lt;$B162)*('Σύνοψη'!$H$2:$H289&gt;$B162))&gt;0, CHAR(34), """") ), """")"),"")</f>
        <v/>
      </c>
      <c r="D162" s="66" t="str">
        <f ca="1">IFERROR(__xludf.DUMMYFUNCTION("IFERROR(IF(SUMPRODUCT(('Σύνοψη'!$F$2:$F289=$A162)*('Σύνοψη'!$C$2:$C289=D$3)*('Σύνοψη'!$G$2:$G289=$B162))&gt;0,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'Σύνοψη'!$C$2:$C289=D$3)), IF(SUMPRODUCT(('Σύνοψη'!$F$2:$F289=$A162)*('Σύνοψη'!$C$2:$C289=D$3)*('Σύνοψη'!$G$2:$G289&lt;$B162)*('Σύνοψη'!$H$2:$H289&gt;$B162))&gt;0, CHAR(34), """") ), """")"),"")</f>
        <v/>
      </c>
      <c r="E162" s="66" t="str">
        <f ca="1">IFERROR(__xludf.DUMMYFUNCTION("IFERROR(IF(SUMPRODUCT(('Σύνοψη'!$F$2:$F289=$A162)*('Σύνοψη'!$C$2:$C289=E$3)*('Σύνοψη'!$G$2:$G289=$B162))&gt;0,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'Σύνοψη'!$C$2:$C289=E$3)), IF(SUMPRODUCT(('Σύνοψη'!$F$2:$F289=$A162)*('Σύνοψη'!$C$2:$C289=E$3)*('Σύνοψη'!$G$2:$G289&lt;$B162)*('Σύνοψη'!$H$2:$H289&gt;$B162))&gt;0, CHAR(34), """") ), """")"),"")</f>
        <v/>
      </c>
      <c r="F162" s="66" t="str">
        <f ca="1">IFERROR(__xludf.DUMMYFUNCTION("IFERROR(IF(SUMPRODUCT(('Σύνοψη'!$F$2:$F289=$A162)*('Σύνοψη'!$C$2:$C289=F$3)*('Σύνοψη'!$G$2:$G289=$B162))&gt;0,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'Σύνοψη'!$C$2:$C289=F$3)), IF(SUMPRODUCT(('Σύνοψη'!$F$2:$F289=$A162)*('Σύνοψη'!$C$2:$C289=F$3)*('Σύνοψη'!$G$2:$G289&lt;$B162)*('Σύνοψη'!$H$2:$H289&gt;$B162))&gt;0, CHAR(34), """") ), """")"),"")</f>
        <v/>
      </c>
      <c r="G162" s="66" t="str">
        <f ca="1">IFERROR(__xludf.DUMMYFUNCTION("IFERROR(IF(SUMPRODUCT(('Σύνοψη'!$F$2:$F289=$A162)*('Σύνοψη'!$C$2:$C289=G$3)*('Σύνοψη'!$G$2:$G289=$B162))&gt;0,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'Σύνοψη'!$C$2:$C289=G$3)), IF(SUMPRODUCT(('Σύνοψη'!$F$2:$F289=$A162)*('Σύνοψη'!$C$2:$C289=G$3)*('Σύνοψη'!$G$2:$G289&lt;$B162)*('Σύνοψη'!$H$2:$H289&gt;$B162))&gt;0, CHAR(34), """") ), """")"),"")</f>
        <v/>
      </c>
      <c r="H162" s="66" t="str">
        <f ca="1">IFERROR(__xludf.DUMMYFUNCTION("IFERROR(IF(SUMPRODUCT(('Σύνοψη'!$F$2:$F289=$A162)*('Σύνοψη'!$C$2:$C289=H$3)*('Σύνοψη'!$G$2:$G289=$B162))&gt;0, TEXTJOIN(CHAR(10) &amp; ""-----------------------"" &amp; CHAR(10), TRUE, FILTER('Σύνοψη'!$E$2:$E289 &amp; "" - "" &amp; 'Σύνοψη'!$I$2:$I289 &amp; "" ("" &amp; 'Σύνοψη'!$J"&amp;"$2:$J289 &amp; "")"", 'Σύνοψη'!$F$2:$F289=$A162, 'Σύνοψη'!$G$2:$G289=$B162, 'Σύνοψη'!$C$2:$C289=H$3)), IF(SUMPRODUCT(('Σύνοψη'!$F$2:$F289=$A162)*('Σύνοψη'!$C$2:$C289=H$3)*('Σύνοψη'!$G$2:$G289&lt;$B162)*('Σύνοψη'!$H$2:$H289&gt;$B162))&gt;0, CHAR(34), """") ), """")"),"")</f>
        <v/>
      </c>
      <c r="I162" s="3"/>
    </row>
    <row r="163" spans="1:9" s="100" customFormat="1" ht="90" x14ac:dyDescent="0.25">
      <c r="A163" s="95">
        <f t="shared" ref="A163:A175" si="11">$A$162</f>
        <v>46280</v>
      </c>
      <c r="B163" s="89">
        <v>0.375</v>
      </c>
      <c r="C163" s="67" t="str">
        <f ca="1">IFERROR(__xludf.DUMMYFUNCTION("IFERROR(IF(SUMPRODUCT(('Σύνοψη'!$F$2:$F289=$A163)*('Σύνοψη'!$C$2:$C289=C$3)*('Σύνοψη'!$G$2:$G289=$B163))&gt;0,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'Σύνοψη'!$C$2:$C289=C$3)), IF(SUMPRODUCT(('Σύνοψη'!$F$2:$F289=$A163)*('Σύνοψη'!$C$2:$C289=C$3)*('Σύνοψη'!$G$2:$G289&lt;$B163)*('Σύνοψη'!$H$2:$H289&gt;$B163))&gt;0, CHAR(34), """") ), """")"),"")</f>
        <v/>
      </c>
      <c r="D163" s="67" t="str">
        <f ca="1">IFERROR(__xludf.DUMMYFUNCTION("IFERROR(IF(SUMPRODUCT(('Σύνοψη'!$F$2:$F289=$A163)*('Σύνοψη'!$C$2:$C289=D$3)*('Σύνοψη'!$G$2:$G289=$B163))&gt;0,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'Σύνοψη'!$C$2:$C289=D$3)), IF(SUMPRODUCT(('Σύνοψη'!$F$2:$F289=$A163)*('Σύνοψη'!$C$2:$C289=D$3)*('Σύνοψη'!$G$2:$G289&lt;$B163)*('Σύνοψη'!$H$2:$H289&gt;$B163))&gt;0, CHAR(34), """") ), """")"),"")</f>
        <v/>
      </c>
      <c r="E163" s="67" t="str">
        <f ca="1">IFERROR(__xludf.DUMMYFUNCTION("IFERROR(IF(SUMPRODUCT(('Σύνοψη'!$F$2:$F289=$A163)*('Σύνοψη'!$C$2:$C289=E$3)*('Σύνοψη'!$G$2:$G289=$B163))&gt;0,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'Σύνοψη'!$C$2:$C289=E$3)), IF(SUMPRODUCT(('Σύνοψη'!$F$2:$F289=$A163)*('Σύνοψη'!$C$2:$C289=E$3)*('Σύνοψη'!$G$2:$G289&lt;$B163)*('Σύνοψη'!$H$2:$H289&gt;$B163))&gt;0, CHAR(34), """") ), """")"),"Γενική Χειρουργική &amp; Οφθαλμολογία - 09:00 - 12:00 (Αμφιθέατρα)")</f>
        <v>Γενική Χειρουργική &amp; Οφθαλμολογία - 09:00 - 12:00 (Αμφιθέατρα)</v>
      </c>
      <c r="F163" s="67" t="str">
        <f ca="1">IFERROR(__xludf.DUMMYFUNCTION("IFERROR(IF(SUMPRODUCT(('Σύνοψη'!$F$2:$F289=$A163)*('Σύνοψη'!$C$2:$C289=F$3)*('Σύνοψη'!$G$2:$G289=$B163))&gt;0,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'Σύνοψη'!$C$2:$C289=F$3)), IF(SUMPRODUCT(('Σύνοψη'!$F$2:$F289=$A163)*('Σύνοψη'!$C$2:$C289=F$3)*('Σύνοψη'!$G$2:$G289&lt;$B163)*('Σύνοψη'!$H$2:$H289&gt;$B163))&gt;0, CHAR(34), """") ), """")"),"")</f>
        <v/>
      </c>
      <c r="G163" s="67" t="str">
        <f ca="1">IFERROR(__xludf.DUMMYFUNCTION("IFERROR(IF(SUMPRODUCT(('Σύνοψη'!$F$2:$F289=$A163)*('Σύνοψη'!$C$2:$C289=G$3)*('Σύνοψη'!$G$2:$G289=$B163))&gt;0,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'Σύνοψη'!$C$2:$C289=G$3)), IF(SUMPRODUCT(('Σύνοψη'!$F$2:$F289=$A163)*('Σύνοψη'!$C$2:$C289=G$3)*('Σύνοψη'!$G$2:$G289&lt;$B163)*('Σύνοψη'!$H$2:$H289&gt;$B163))&gt;0, CHAR(34), """") ), """")"),"Πρακτική Άσκηση στην Παθολογία Παραγωγικών Ζώων Ι - 09:00 - 12:00 (Νέες Αίθουσες)")</f>
        <v>Πρακτική Άσκηση στην Παθολογία Παραγωγικών Ζώων Ι - 09:00 - 12:00 (Νέες Αίθουσες)</v>
      </c>
      <c r="H163" s="67" t="str">
        <f ca="1">IFERROR(__xludf.DUMMYFUNCTION("IFERROR(IF(SUMPRODUCT(('Σύνοψη'!$F$2:$F289=$A163)*('Σύνοψη'!$C$2:$C289=H$3)*('Σύνοψη'!$G$2:$G289=$B163))&gt;0, TEXTJOIN(CHAR(10) &amp; ""-----------------------"" &amp; CHAR(10), TRUE, FILTER('Σύνοψη'!$E$2:$E289 &amp; "" - "" &amp; 'Σύνοψη'!$I$2:$I289 &amp; "" ("" &amp; 'Σύνοψη'!$J"&amp;"$2:$J289 &amp; "")"", 'Σύνοψη'!$F$2:$F289=$A163, 'Σύνοψη'!$G$2:$G289=$B163, 'Σύνοψη'!$C$2:$C289=H$3)), IF(SUMPRODUCT(('Σύνοψη'!$F$2:$F289=$A163)*('Σύνοψη'!$C$2:$C289=H$3)*('Σύνοψη'!$G$2:$G289&lt;$B163)*('Σύνοψη'!$H$2:$H289&gt;$B163))&gt;0, CHAR(34), """") ), """")"),"Παθολογία Παραγωγικών (ΠΠΣ) (Γραπτά) - 09:00 - 12:00 (Νέες Αίθουσες)
-----------------------
Χειρουργική ΙV (γραπτά) - 09:00 - 12:00 (Αμφιθέατρα)")</f>
        <v>Παθολογία Παραγωγικών (ΠΠΣ) (Γραπτά) - 09:00 - 12:00 (Νέες Αίθουσες)
-----------------------
Χειρουργική ΙV (γραπτά) - 09:00 - 12:00 (Αμφιθέατρα)</v>
      </c>
      <c r="I163" s="3"/>
    </row>
    <row r="164" spans="1:9" s="100" customFormat="1" x14ac:dyDescent="0.25">
      <c r="A164" s="95">
        <f t="shared" si="11"/>
        <v>46280</v>
      </c>
      <c r="B164" s="89">
        <v>0.41666666666666669</v>
      </c>
      <c r="C164" s="67" t="str">
        <f ca="1">IFERROR(__xludf.DUMMYFUNCTION("IFERROR(IF(SUMPRODUCT(('Σύνοψη'!$F$2:$F289=$A164)*('Σύνοψη'!$C$2:$C289=C$3)*('Σύνοψη'!$G$2:$G289=$B164))&gt;0,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'Σύνοψη'!$C$2:$C289=C$3)), IF(SUMPRODUCT(('Σύνοψη'!$F$2:$F289=$A164)*('Σύνοψη'!$C$2:$C289=C$3)*('Σύνοψη'!$G$2:$G289&lt;$B164)*('Σύνοψη'!$H$2:$H289&gt;$B164))&gt;0, CHAR(34), """") ), """")"),"")</f>
        <v/>
      </c>
      <c r="D164" s="67" t="str">
        <f ca="1">IFERROR(__xludf.DUMMYFUNCTION("IFERROR(IF(SUMPRODUCT(('Σύνοψη'!$F$2:$F289=$A164)*('Σύνοψη'!$C$2:$C289=D$3)*('Σύνοψη'!$G$2:$G289=$B164))&gt;0,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'Σύνοψη'!$C$2:$C289=D$3)), IF(SUMPRODUCT(('Σύνοψη'!$F$2:$F289=$A164)*('Σύνοψη'!$C$2:$C289=D$3)*('Σύνοψη'!$G$2:$G289&lt;$B164)*('Σύνοψη'!$H$2:$H289&gt;$B164))&gt;0, CHAR(34), """") ), """")"),"")</f>
        <v/>
      </c>
      <c r="E164" s="67" t="str">
        <f ca="1">IFERROR(__xludf.DUMMYFUNCTION("IFERROR(IF(SUMPRODUCT(('Σύνοψη'!$F$2:$F289=$A164)*('Σύνοψη'!$C$2:$C289=E$3)*('Σύνοψη'!$G$2:$G289=$B164))&gt;0,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'Σύνοψη'!$C$2:$C289=E$3)), IF(SUMPRODUCT(('Σύνοψη'!$F$2:$F289=$A164)*('Σύνοψη'!$C$2:$C289=E$3)*('Σύνοψη'!$G$2:$G289&lt;$B164)*('Σύνοψη'!$H$2:$H289&gt;$B164))&gt;0, CHAR(34), """") ), """")"),"""")</f>
        <v>"</v>
      </c>
      <c r="F164" s="67" t="str">
        <f ca="1">IFERROR(__xludf.DUMMYFUNCTION("IFERROR(IF(SUMPRODUCT(('Σύνοψη'!$F$2:$F289=$A164)*('Σύνοψη'!$C$2:$C289=F$3)*('Σύνοψη'!$G$2:$G289=$B164))&gt;0,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'Σύνοψη'!$C$2:$C289=F$3)), IF(SUMPRODUCT(('Σύνοψη'!$F$2:$F289=$A164)*('Σύνοψη'!$C$2:$C289=F$3)*('Σύνοψη'!$G$2:$G289&lt;$B164)*('Σύνοψη'!$H$2:$H289&gt;$B164))&gt;0, CHAR(34), """") ), """")"),"")</f>
        <v/>
      </c>
      <c r="G164" s="67" t="str">
        <f ca="1">IFERROR(__xludf.DUMMYFUNCTION("IFERROR(IF(SUMPRODUCT(('Σύνοψη'!$F$2:$F289=$A164)*('Σύνοψη'!$C$2:$C289=G$3)*('Σύνοψη'!$G$2:$G289=$B164))&gt;0,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'Σύνοψη'!$C$2:$C289=G$3)), IF(SUMPRODUCT(('Σύνοψη'!$F$2:$F289=$A164)*('Σύνοψη'!$C$2:$C289=G$3)*('Σύνοψη'!$G$2:$G289&lt;$B164)*('Σύνοψη'!$H$2:$H289&gt;$B164))&gt;0, CHAR(34), """") ), """")"),"""")</f>
        <v>"</v>
      </c>
      <c r="H164" s="67" t="str">
        <f ca="1">IFERROR(__xludf.DUMMYFUNCTION("IFERROR(IF(SUMPRODUCT(('Σύνοψη'!$F$2:$F289=$A164)*('Σύνοψη'!$C$2:$C289=H$3)*('Σύνοψη'!$G$2:$G289=$B164))&gt;0, TEXTJOIN(CHAR(10) &amp; ""-----------------------"" &amp; CHAR(10), TRUE, FILTER('Σύνοψη'!$E$2:$E289 &amp; "" - "" &amp; 'Σύνοψη'!$I$2:$I289 &amp; "" ("" &amp; 'Σύνοψη'!$J"&amp;"$2:$J289 &amp; "")"", 'Σύνοψη'!$F$2:$F289=$A164, 'Σύνοψη'!$G$2:$G289=$B164, 'Σύνοψη'!$C$2:$C289=H$3)), IF(SUMPRODUCT(('Σύνοψη'!$F$2:$F289=$A164)*('Σύνοψη'!$C$2:$C289=H$3)*('Σύνοψη'!$G$2:$G289&lt;$B164)*('Σύνοψη'!$H$2:$H289&gt;$B164))&gt;0, CHAR(34), """") ), """")"),"""")</f>
        <v>"</v>
      </c>
      <c r="I164" s="3"/>
    </row>
    <row r="165" spans="1:9" s="100" customFormat="1" x14ac:dyDescent="0.25">
      <c r="A165" s="95">
        <f t="shared" si="11"/>
        <v>46280</v>
      </c>
      <c r="B165" s="89">
        <v>0.45833333333333331</v>
      </c>
      <c r="C165" s="67" t="str">
        <f ca="1">IFERROR(__xludf.DUMMYFUNCTION("IFERROR(IF(SUMPRODUCT(('Σύνοψη'!$F$2:$F289=$A165)*('Σύνοψη'!$C$2:$C289=C$3)*('Σύνοψη'!$G$2:$G289=$B165))&gt;0,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'Σύνοψη'!$C$2:$C289=C$3)), IF(SUMPRODUCT(('Σύνοψη'!$F$2:$F289=$A165)*('Σύνοψη'!$C$2:$C289=C$3)*('Σύνοψη'!$G$2:$G289&lt;$B165)*('Σύνοψη'!$H$2:$H289&gt;$B165))&gt;0, CHAR(34), """") ), """")"),"")</f>
        <v/>
      </c>
      <c r="D165" s="67" t="str">
        <f ca="1">IFERROR(__xludf.DUMMYFUNCTION("IFERROR(IF(SUMPRODUCT(('Σύνοψη'!$F$2:$F289=$A165)*('Σύνοψη'!$C$2:$C289=D$3)*('Σύνοψη'!$G$2:$G289=$B165))&gt;0,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'Σύνοψη'!$C$2:$C289=D$3)), IF(SUMPRODUCT(('Σύνοψη'!$F$2:$F289=$A165)*('Σύνοψη'!$C$2:$C289=D$3)*('Σύνοψη'!$G$2:$G289&lt;$B165)*('Σύνοψη'!$H$2:$H289&gt;$B165))&gt;0, CHAR(34), """") ), """")"),"")</f>
        <v/>
      </c>
      <c r="E165" s="67" t="str">
        <f ca="1">IFERROR(__xludf.DUMMYFUNCTION("IFERROR(IF(SUMPRODUCT(('Σύνοψη'!$F$2:$F289=$A165)*('Σύνοψη'!$C$2:$C289=E$3)*('Σύνοψη'!$G$2:$G289=$B165))&gt;0,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'Σύνοψη'!$C$2:$C289=E$3)), IF(SUMPRODUCT(('Σύνοψη'!$F$2:$F289=$A165)*('Σύνοψη'!$C$2:$C289=E$3)*('Σύνοψη'!$G$2:$G289&lt;$B165)*('Σύνοψη'!$H$2:$H289&gt;$B165))&gt;0, CHAR(34), """") ), """")"),"""")</f>
        <v>"</v>
      </c>
      <c r="F165" s="67" t="str">
        <f ca="1">IFERROR(__xludf.DUMMYFUNCTION("IFERROR(IF(SUMPRODUCT(('Σύνοψη'!$F$2:$F289=$A165)*('Σύνοψη'!$C$2:$C289=F$3)*('Σύνοψη'!$G$2:$G289=$B165))&gt;0,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'Σύνοψη'!$C$2:$C289=F$3)), IF(SUMPRODUCT(('Σύνοψη'!$F$2:$F289=$A165)*('Σύνοψη'!$C$2:$C289=F$3)*('Σύνοψη'!$G$2:$G289&lt;$B165)*('Σύνοψη'!$H$2:$H289&gt;$B165))&gt;0, CHAR(34), """") ), """")"),"")</f>
        <v/>
      </c>
      <c r="G165" s="67" t="str">
        <f ca="1">IFERROR(__xludf.DUMMYFUNCTION("IFERROR(IF(SUMPRODUCT(('Σύνοψη'!$F$2:$F289=$A165)*('Σύνοψη'!$C$2:$C289=G$3)*('Σύνοψη'!$G$2:$G289=$B165))&gt;0,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'Σύνοψη'!$C$2:$C289=G$3)), IF(SUMPRODUCT(('Σύνοψη'!$F$2:$F289=$A165)*('Σύνοψη'!$C$2:$C289=G$3)*('Σύνοψη'!$G$2:$G289&lt;$B165)*('Σύνοψη'!$H$2:$H289&gt;$B165))&gt;0, CHAR(34), """") ), """")"),"""")</f>
        <v>"</v>
      </c>
      <c r="H165" s="67" t="str">
        <f ca="1">IFERROR(__xludf.DUMMYFUNCTION("IFERROR(IF(SUMPRODUCT(('Σύνοψη'!$F$2:$F289=$A165)*('Σύνοψη'!$C$2:$C289=H$3)*('Σύνοψη'!$G$2:$G289=$B165))&gt;0, TEXTJOIN(CHAR(10) &amp; ""-----------------------"" &amp; CHAR(10), TRUE, FILTER('Σύνοψη'!$E$2:$E289 &amp; "" - "" &amp; 'Σύνοψη'!$I$2:$I289 &amp; "" ("" &amp; 'Σύνοψη'!$J"&amp;"$2:$J289 &amp; "")"", 'Σύνοψη'!$F$2:$F289=$A165, 'Σύνοψη'!$G$2:$G289=$B165, 'Σύνοψη'!$C$2:$C289=H$3)), IF(SUMPRODUCT(('Σύνοψη'!$F$2:$F289=$A165)*('Σύνοψη'!$C$2:$C289=H$3)*('Σύνοψη'!$G$2:$G289&lt;$B165)*('Σύνοψη'!$H$2:$H289&gt;$B165))&gt;0, CHAR(34), """") ), """")"),"""")</f>
        <v>"</v>
      </c>
      <c r="I165" s="3"/>
    </row>
    <row r="166" spans="1:9" s="100" customFormat="1" ht="45" x14ac:dyDescent="0.25">
      <c r="A166" s="95">
        <f t="shared" si="11"/>
        <v>46280</v>
      </c>
      <c r="B166" s="89">
        <v>0.5</v>
      </c>
      <c r="C166" s="67" t="str">
        <f ca="1">IFERROR(__xludf.DUMMYFUNCTION("IFERROR(IF(SUMPRODUCT(('Σύνοψη'!$F$2:$F289=$A166)*('Σύνοψη'!$C$2:$C289=C$3)*('Σύνοψη'!$G$2:$G289=$B166))&gt;0,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'Σύνοψη'!$C$2:$C289=C$3)), IF(SUMPRODUCT(('Σύνοψη'!$F$2:$F289=$A166)*('Σύνοψη'!$C$2:$C289=C$3)*('Σύνοψη'!$G$2:$G289&lt;$B166)*('Σύνοψη'!$H$2:$H289&gt;$B166))&gt;0, CHAR(34), """") ), """")"),"Γενετική (Εργαστήριο) - 12:00 - 15:00 (Νέες Αίθουσες)")</f>
        <v>Γενετική (Εργαστήριο) - 12:00 - 15:00 (Νέες Αίθουσες)</v>
      </c>
      <c r="D166" s="67" t="str">
        <f ca="1">IFERROR(__xludf.DUMMYFUNCTION("IFERROR(IF(SUMPRODUCT(('Σύνοψη'!$F$2:$F289=$A166)*('Σύνοψη'!$C$2:$C289=D$3)*('Σύνοψη'!$G$2:$G289=$B166))&gt;0,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'Σύνοψη'!$C$2:$C289=D$3)), IF(SUMPRODUCT(('Σύνοψη'!$F$2:$F289=$A166)*('Σύνοψη'!$C$2:$C289=D$3)*('Σύνοψη'!$G$2:$G289&lt;$B166)*('Σύνοψη'!$H$2:$H289&gt;$B166))&gt;0, CHAR(34), """") ), """")"),"")</f>
        <v/>
      </c>
      <c r="E166" s="67" t="str">
        <f ca="1">IFERROR(__xludf.DUMMYFUNCTION("IFERROR(IF(SUMPRODUCT(('Σύνοψη'!$F$2:$F289=$A166)*('Σύνοψη'!$C$2:$C289=E$3)*('Σύνοψη'!$G$2:$G289=$B166))&gt;0,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'Σύνοψη'!$C$2:$C289=E$3)), IF(SUMPRODUCT(('Σύνοψη'!$F$2:$F289=$A166)*('Σύνοψη'!$C$2:$C289=E$3)*('Σύνοψη'!$G$2:$G289&lt;$B166)*('Σύνοψη'!$H$2:$H289&gt;$B166))&gt;0, CHAR(34), """") ), """")"),"")</f>
        <v/>
      </c>
      <c r="F166" s="67" t="str">
        <f ca="1">IFERROR(__xludf.DUMMYFUNCTION("IFERROR(IF(SUMPRODUCT(('Σύνοψη'!$F$2:$F289=$A166)*('Σύνοψη'!$C$2:$C289=F$3)*('Σύνοψη'!$G$2:$G289=$B166))&gt;0,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'Σύνοψη'!$C$2:$C289=F$3)), IF(SUMPRODUCT(('Σύνοψη'!$F$2:$F289=$A166)*('Σύνοψη'!$C$2:$C289=F$3)*('Σύνοψη'!$G$2:$G289&lt;$B166)*('Σύνοψη'!$H$2:$H289&gt;$B166))&gt;0, CHAR(34), """") ), """")"),"Υγιεινή Τροφίμων &amp; Σχετική Νομοθεσία ΙI - 12:00 - 14:00 (Αμφιθέατρα)")</f>
        <v>Υγιεινή Τροφίμων &amp; Σχετική Νομοθεσία ΙI - 12:00 - 14:00 (Αμφιθέατρα)</v>
      </c>
      <c r="G166" s="67" t="str">
        <f ca="1">IFERROR(__xludf.DUMMYFUNCTION("IFERROR(IF(SUMPRODUCT(('Σύνοψη'!$F$2:$F289=$A166)*('Σύνοψη'!$C$2:$C289=G$3)*('Σύνοψη'!$G$2:$G289=$B166))&gt;0,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'Σύνοψη'!$C$2:$C289=G$3)), IF(SUMPRODUCT(('Σύνοψη'!$F$2:$F289=$A166)*('Σύνοψη'!$C$2:$C289=G$3)*('Σύνοψη'!$G$2:$G289&lt;$B166)*('Σύνοψη'!$H$2:$H289&gt;$B166))&gt;0, CHAR(34), """") ), """")"),"")</f>
        <v/>
      </c>
      <c r="H166" s="67" t="str">
        <f ca="1">IFERROR(__xludf.DUMMYFUNCTION("IFERROR(IF(SUMPRODUCT(('Σύνοψη'!$F$2:$F289=$A166)*('Σύνοψη'!$C$2:$C289=H$3)*('Σύνοψη'!$G$2:$G289=$B166))&gt;0, TEXTJOIN(CHAR(10) &amp; ""-----------------------"" &amp; CHAR(10), TRUE, FILTER('Σύνοψη'!$E$2:$E289 &amp; "" - "" &amp; 'Σύνοψη'!$I$2:$I289 &amp; "" ("" &amp; 'Σύνοψη'!$J"&amp;"$2:$J289 &amp; "")"", 'Σύνοψη'!$F$2:$F289=$A166, 'Σύνοψη'!$G$2:$G289=$B166, 'Σύνοψη'!$C$2:$C289=H$3)), IF(SUMPRODUCT(('Σύνοψη'!$F$2:$F289=$A166)*('Σύνοψη'!$C$2:$C289=H$3)*('Σύνοψη'!$G$2:$G289&lt;$B166)*('Σύνοψη'!$H$2:$H289&gt;$B166))&gt;0, CHAR(34), """") ), """")"),"")</f>
        <v/>
      </c>
      <c r="I166" s="3"/>
    </row>
    <row r="167" spans="1:9" s="100" customFormat="1" x14ac:dyDescent="0.25">
      <c r="A167" s="95">
        <f t="shared" si="11"/>
        <v>46280</v>
      </c>
      <c r="B167" s="89">
        <v>0.54166666666666663</v>
      </c>
      <c r="C167" s="67" t="str">
        <f ca="1">IFERROR(__xludf.DUMMYFUNCTION("IFERROR(IF(SUMPRODUCT(('Σύνοψη'!$F$2:$F289=$A167)*('Σύνοψη'!$C$2:$C289=C$3)*('Σύνοψη'!$G$2:$G289=$B167))&gt;0,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'Σύνοψη'!$C$2:$C289=C$3)), IF(SUMPRODUCT(('Σύνοψη'!$F$2:$F289=$A167)*('Σύνοψη'!$C$2:$C289=C$3)*('Σύνοψη'!$G$2:$G289&lt;$B167)*('Σύνοψη'!$H$2:$H289&gt;$B167))&gt;0, CHAR(34), """") ), """")"),"""")</f>
        <v>"</v>
      </c>
      <c r="D167" s="67" t="str">
        <f ca="1">IFERROR(__xludf.DUMMYFUNCTION("IFERROR(IF(SUMPRODUCT(('Σύνοψη'!$F$2:$F289=$A167)*('Σύνοψη'!$C$2:$C289=D$3)*('Σύνοψη'!$G$2:$G289=$B167))&gt;0,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'Σύνοψη'!$C$2:$C289=D$3)), IF(SUMPRODUCT(('Σύνοψη'!$F$2:$F289=$A167)*('Σύνοψη'!$C$2:$C289=D$3)*('Σύνοψη'!$G$2:$G289&lt;$B167)*('Σύνοψη'!$H$2:$H289&gt;$B167))&gt;0, CHAR(34), """") ), """")"),"")</f>
        <v/>
      </c>
      <c r="E167" s="67" t="str">
        <f ca="1">IFERROR(__xludf.DUMMYFUNCTION("IFERROR(IF(SUMPRODUCT(('Σύνοψη'!$F$2:$F289=$A167)*('Σύνοψη'!$C$2:$C289=E$3)*('Σύνοψη'!$G$2:$G289=$B167))&gt;0,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'Σύνοψη'!$C$2:$C289=E$3)), IF(SUMPRODUCT(('Σύνοψη'!$F$2:$F289=$A167)*('Σύνοψη'!$C$2:$C289=E$3)*('Σύνοψη'!$G$2:$G289&lt;$B167)*('Σύνοψη'!$H$2:$H289&gt;$B167))&gt;0, CHAR(34), """") ), """")"),"")</f>
        <v/>
      </c>
      <c r="F167" s="67" t="str">
        <f ca="1">IFERROR(__xludf.DUMMYFUNCTION("IFERROR(IF(SUMPRODUCT(('Σύνοψη'!$F$2:$F289=$A167)*('Σύνοψη'!$C$2:$C289=F$3)*('Σύνοψη'!$G$2:$G289=$B167))&gt;0,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'Σύνοψη'!$C$2:$C289=F$3)), IF(SUMPRODUCT(('Σύνοψη'!$F$2:$F289=$A167)*('Σύνοψη'!$C$2:$C289=F$3)*('Σύνοψη'!$G$2:$G289&lt;$B167)*('Σύνοψη'!$H$2:$H289&gt;$B167))&gt;0, CHAR(34), """") ), """")"),"""")</f>
        <v>"</v>
      </c>
      <c r="G167" s="67" t="str">
        <f ca="1">IFERROR(__xludf.DUMMYFUNCTION("IFERROR(IF(SUMPRODUCT(('Σύνοψη'!$F$2:$F289=$A167)*('Σύνοψη'!$C$2:$C289=G$3)*('Σύνοψη'!$G$2:$G289=$B167))&gt;0,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'Σύνοψη'!$C$2:$C289=G$3)), IF(SUMPRODUCT(('Σύνοψη'!$F$2:$F289=$A167)*('Σύνοψη'!$C$2:$C289=G$3)*('Σύνοψη'!$G$2:$G289&lt;$B167)*('Σύνοψη'!$H$2:$H289&gt;$B167))&gt;0, CHAR(34), """") ), """")"),"")</f>
        <v/>
      </c>
      <c r="H167" s="67" t="str">
        <f ca="1">IFERROR(__xludf.DUMMYFUNCTION("IFERROR(IF(SUMPRODUCT(('Σύνοψη'!$F$2:$F289=$A167)*('Σύνοψη'!$C$2:$C289=H$3)*('Σύνοψη'!$G$2:$G289=$B167))&gt;0, TEXTJOIN(CHAR(10) &amp; ""-----------------------"" &amp; CHAR(10), TRUE, FILTER('Σύνοψη'!$E$2:$E289 &amp; "" - "" &amp; 'Σύνοψη'!$I$2:$I289 &amp; "" ("" &amp; 'Σύνοψη'!$J"&amp;"$2:$J289 &amp; "")"", 'Σύνοψη'!$F$2:$F289=$A167, 'Σύνοψη'!$G$2:$G289=$B167, 'Σύνοψη'!$C$2:$C289=H$3)), IF(SUMPRODUCT(('Σύνοψη'!$F$2:$F289=$A167)*('Σύνοψη'!$C$2:$C289=H$3)*('Σύνοψη'!$G$2:$G289&lt;$B167)*('Σύνοψη'!$H$2:$H289&gt;$B167))&gt;0, CHAR(34), """") ), """")"),"")</f>
        <v/>
      </c>
      <c r="I167" s="3"/>
    </row>
    <row r="168" spans="1:9" s="100" customFormat="1" ht="30" x14ac:dyDescent="0.25">
      <c r="A168" s="95">
        <f t="shared" si="11"/>
        <v>46280</v>
      </c>
      <c r="B168" s="89">
        <v>0.58333333333333337</v>
      </c>
      <c r="C168" s="67" t="str">
        <f ca="1">IFERROR(__xludf.DUMMYFUNCTION("IFERROR(IF(SUMPRODUCT(('Σύνοψη'!$F$2:$F289=$A168)*('Σύνοψη'!$C$2:$C289=C$3)*('Σύνοψη'!$G$2:$G289=$B168))&gt;0,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'Σύνοψη'!$C$2:$C289=C$3)), IF(SUMPRODUCT(('Σύνοψη'!$F$2:$F289=$A168)*('Σύνοψη'!$C$2:$C289=C$3)*('Σύνοψη'!$G$2:$G289&lt;$B168)*('Σύνοψη'!$H$2:$H289&gt;$B168))&gt;0, CHAR(34), """") ), """")"),"""")</f>
        <v>"</v>
      </c>
      <c r="D168" s="67" t="str">
        <f ca="1">IFERROR(__xludf.DUMMYFUNCTION("IFERROR(IF(SUMPRODUCT(('Σύνοψη'!$F$2:$F289=$A168)*('Σύνοψη'!$C$2:$C289=D$3)*('Σύνοψη'!$G$2:$G289=$B168))&gt;0,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'Σύνοψη'!$C$2:$C289=D$3)), IF(SUMPRODUCT(('Σύνοψη'!$F$2:$F289=$A168)*('Σύνοψη'!$C$2:$C289=D$3)*('Σύνοψη'!$G$2:$G289&lt;$B168)*('Σύνοψη'!$H$2:$H289&gt;$B168))&gt;0, CHAR(34), """") ), """")"),"Οικονομία Υγείας των Ζώων - 14:00 - 17:00 (Αμφιθέατρα)")</f>
        <v>Οικονομία Υγείας των Ζώων - 14:00 - 17:00 (Αμφιθέατρα)</v>
      </c>
      <c r="E168" s="67" t="str">
        <f ca="1">IFERROR(__xludf.DUMMYFUNCTION("IFERROR(IF(SUMPRODUCT(('Σύνοψη'!$F$2:$F289=$A168)*('Σύνοψη'!$C$2:$C289=E$3)*('Σύνοψη'!$G$2:$G289=$B168))&gt;0,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'Σύνοψη'!$C$2:$C289=E$3)), IF(SUMPRODUCT(('Σύνοψη'!$F$2:$F289=$A168)*('Σύνοψη'!$C$2:$C289=E$3)*('Σύνοψη'!$G$2:$G289&lt;$B168)*('Σύνοψη'!$H$2:$H289&gt;$B168))&gt;0, CHAR(34), """") ), """")"),"")</f>
        <v/>
      </c>
      <c r="F168" s="67" t="str">
        <f ca="1">IFERROR(__xludf.DUMMYFUNCTION("IFERROR(IF(SUMPRODUCT(('Σύνοψη'!$F$2:$F289=$A168)*('Σύνοψη'!$C$2:$C289=F$3)*('Σύνοψη'!$G$2:$G289=$B168))&gt;0,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'Σύνοψη'!$C$2:$C289=F$3)), IF(SUMPRODUCT(('Σύνοψη'!$F$2:$F289=$A168)*('Σύνοψη'!$C$2:$C289=F$3)*('Σύνοψη'!$G$2:$G289&lt;$B168)*('Σύνοψη'!$H$2:$H289&gt;$B168))&gt;0, CHAR(34), """") ), """")"),"")</f>
        <v/>
      </c>
      <c r="G168" s="67" t="str">
        <f ca="1">IFERROR(__xludf.DUMMYFUNCTION("IFERROR(IF(SUMPRODUCT(('Σύνοψη'!$F$2:$F289=$A168)*('Σύνοψη'!$C$2:$C289=G$3)*('Σύνοψη'!$G$2:$G289=$B168))&gt;0,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'Σύνοψη'!$C$2:$C289=G$3)), IF(SUMPRODUCT(('Σύνοψη'!$F$2:$F289=$A168)*('Σύνοψη'!$C$2:$C289=G$3)*('Σύνοψη'!$G$2:$G289&lt;$B168)*('Σύνοψη'!$H$2:$H289&gt;$B168))&gt;0, CHAR(34), """") ), """")"),"")</f>
        <v/>
      </c>
      <c r="H168" s="67" t="str">
        <f ca="1">IFERROR(__xludf.DUMMYFUNCTION("IFERROR(IF(SUMPRODUCT(('Σύνοψη'!$F$2:$F289=$A168)*('Σύνοψη'!$C$2:$C289=H$3)*('Σύνοψη'!$G$2:$G289=$B168))&gt;0, TEXTJOIN(CHAR(10) &amp; ""-----------------------"" &amp; CHAR(10), TRUE, FILTER('Σύνοψη'!$E$2:$E289 &amp; "" - "" &amp; 'Σύνοψη'!$I$2:$I289 &amp; "" ("" &amp; 'Σύνοψη'!$J"&amp;"$2:$J289 &amp; "")"", 'Σύνοψη'!$F$2:$F289=$A168, 'Σύνοψη'!$G$2:$G289=$B168, 'Σύνοψη'!$C$2:$C289=H$3)), IF(SUMPRODUCT(('Σύνοψη'!$F$2:$F289=$A168)*('Σύνοψη'!$C$2:$C289=H$3)*('Σύνοψη'!$G$2:$G289&lt;$B168)*('Σύνοψη'!$H$2:$H289&gt;$B168))&gt;0, CHAR(34), """") ), """")"),"")</f>
        <v/>
      </c>
      <c r="I168" s="3"/>
    </row>
    <row r="169" spans="1:9" s="100" customFormat="1" x14ac:dyDescent="0.25">
      <c r="A169" s="95">
        <f t="shared" si="11"/>
        <v>46280</v>
      </c>
      <c r="B169" s="89">
        <v>0.625</v>
      </c>
      <c r="C169" s="67" t="str">
        <f ca="1">IFERROR(__xludf.DUMMYFUNCTION("IFERROR(IF(SUMPRODUCT(('Σύνοψη'!$F$2:$F289=$A169)*('Σύνοψη'!$C$2:$C289=C$3)*('Σύνοψη'!$G$2:$G289=$B169))&gt;0,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'Σύνοψη'!$C$2:$C289=C$3)), IF(SUMPRODUCT(('Σύνοψη'!$F$2:$F289=$A169)*('Σύνοψη'!$C$2:$C289=C$3)*('Σύνοψη'!$G$2:$G289&lt;$B169)*('Σύνοψη'!$H$2:$H289&gt;$B169))&gt;0, CHAR(34), """") ), """")"),"")</f>
        <v/>
      </c>
      <c r="D169" s="67" t="str">
        <f ca="1">IFERROR(__xludf.DUMMYFUNCTION("IFERROR(IF(SUMPRODUCT(('Σύνοψη'!$F$2:$F289=$A169)*('Σύνοψη'!$C$2:$C289=D$3)*('Σύνοψη'!$G$2:$G289=$B169))&gt;0,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'Σύνοψη'!$C$2:$C289=D$3)), IF(SUMPRODUCT(('Σύνοψη'!$F$2:$F289=$A169)*('Σύνοψη'!$C$2:$C289=D$3)*('Σύνοψη'!$G$2:$G289&lt;$B169)*('Σύνοψη'!$H$2:$H289&gt;$B169))&gt;0, CHAR(34), """") ), """")"),"""")</f>
        <v>"</v>
      </c>
      <c r="E169" s="67" t="str">
        <f ca="1">IFERROR(__xludf.DUMMYFUNCTION("IFERROR(IF(SUMPRODUCT(('Σύνοψη'!$F$2:$F289=$A169)*('Σύνοψη'!$C$2:$C289=E$3)*('Σύνοψη'!$G$2:$G289=$B169))&gt;0,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'Σύνοψη'!$C$2:$C289=E$3)), IF(SUMPRODUCT(('Σύνοψη'!$F$2:$F289=$A169)*('Σύνοψη'!$C$2:$C289=E$3)*('Σύνοψη'!$G$2:$G289&lt;$B169)*('Σύνοψη'!$H$2:$H289&gt;$B169))&gt;0, CHAR(34), """") ), """")"),"")</f>
        <v/>
      </c>
      <c r="F169" s="67" t="str">
        <f ca="1">IFERROR(__xludf.DUMMYFUNCTION("IFERROR(IF(SUMPRODUCT(('Σύνοψη'!$F$2:$F289=$A169)*('Σύνοψη'!$C$2:$C289=F$3)*('Σύνοψη'!$G$2:$G289=$B169))&gt;0,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'Σύνοψη'!$C$2:$C289=F$3)), IF(SUMPRODUCT(('Σύνοψη'!$F$2:$F289=$A169)*('Σύνοψη'!$C$2:$C289=F$3)*('Σύνοψη'!$G$2:$G289&lt;$B169)*('Σύνοψη'!$H$2:$H289&gt;$B169))&gt;0, CHAR(34), """") ), """")"),"")</f>
        <v/>
      </c>
      <c r="G169" s="67" t="str">
        <f ca="1">IFERROR(__xludf.DUMMYFUNCTION("IFERROR(IF(SUMPRODUCT(('Σύνοψη'!$F$2:$F289=$A169)*('Σύνοψη'!$C$2:$C289=G$3)*('Σύνοψη'!$G$2:$G289=$B169))&gt;0,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'Σύνοψη'!$C$2:$C289=G$3)), IF(SUMPRODUCT(('Σύνοψη'!$F$2:$F289=$A169)*('Σύνοψη'!$C$2:$C289=G$3)*('Σύνοψη'!$G$2:$G289&lt;$B169)*('Σύνοψη'!$H$2:$H289&gt;$B169))&gt;0, CHAR(34), """") ), """")"),"")</f>
        <v/>
      </c>
      <c r="H169" s="67" t="str">
        <f ca="1">IFERROR(__xludf.DUMMYFUNCTION("IFERROR(IF(SUMPRODUCT(('Σύνοψη'!$F$2:$F289=$A169)*('Σύνοψη'!$C$2:$C289=H$3)*('Σύνοψη'!$G$2:$G289=$B169))&gt;0, TEXTJOIN(CHAR(10) &amp; ""-----------------------"" &amp; CHAR(10), TRUE, FILTER('Σύνοψη'!$E$2:$E289 &amp; "" - "" &amp; 'Σύνοψη'!$I$2:$I289 &amp; "" ("" &amp; 'Σύνοψη'!$J"&amp;"$2:$J289 &amp; "")"", 'Σύνοψη'!$F$2:$F289=$A169, 'Σύνοψη'!$G$2:$G289=$B169, 'Σύνοψη'!$C$2:$C289=H$3)), IF(SUMPRODUCT(('Σύνοψη'!$F$2:$F289=$A169)*('Σύνοψη'!$C$2:$C289=H$3)*('Σύνοψη'!$G$2:$G289&lt;$B169)*('Σύνοψη'!$H$2:$H289&gt;$B169))&gt;0, CHAR(34), """") ), """")"),"")</f>
        <v/>
      </c>
      <c r="I169" s="3"/>
    </row>
    <row r="170" spans="1:9" s="100" customFormat="1" ht="30" x14ac:dyDescent="0.25">
      <c r="A170" s="95">
        <f t="shared" si="11"/>
        <v>46280</v>
      </c>
      <c r="B170" s="89">
        <v>0.66666666666666663</v>
      </c>
      <c r="C170" s="67" t="str">
        <f ca="1">IFERROR(__xludf.DUMMYFUNCTION("IFERROR(IF(SUMPRODUCT(('Σύνοψη'!$F$2:$F289=$A170)*('Σύνοψη'!$C$2:$C289=C$3)*('Σύνοψη'!$G$2:$G289=$B170))&gt;0,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'Σύνοψη'!$C$2:$C289=C$3)), IF(SUMPRODUCT(('Σύνοψη'!$F$2:$F289=$A170)*('Σύνοψη'!$C$2:$C289=C$3)*('Σύνοψη'!$G$2:$G289&lt;$B170)*('Σύνοψη'!$H$2:$H289&gt;$B170))&gt;0, CHAR(34), """") ), """")"),"Γενετική (Θεωρία) - 16:00 - 18:00 (Νέες Αίθουσες)")</f>
        <v>Γενετική (Θεωρία) - 16:00 - 18:00 (Νέες Αίθουσες)</v>
      </c>
      <c r="D170" s="67" t="str">
        <f ca="1">IFERROR(__xludf.DUMMYFUNCTION("IFERROR(IF(SUMPRODUCT(('Σύνοψη'!$F$2:$F289=$A170)*('Σύνοψη'!$C$2:$C289=D$3)*('Σύνοψη'!$G$2:$G289=$B170))&gt;0,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'Σύνοψη'!$C$2:$C289=D$3)), IF(SUMPRODUCT(('Σύνοψη'!$F$2:$F289=$A170)*('Σύνοψη'!$C$2:$C289=D$3)*('Σύνοψη'!$G$2:$G289&lt;$B170)*('Σύνοψη'!$H$2:$H289&gt;$B170))&gt;0, CHAR(34), """") ), """")"),"""")</f>
        <v>"</v>
      </c>
      <c r="E170" s="67" t="str">
        <f ca="1">IFERROR(__xludf.DUMMYFUNCTION("IFERROR(IF(SUMPRODUCT(('Σύνοψη'!$F$2:$F289=$A170)*('Σύνοψη'!$C$2:$C289=E$3)*('Σύνοψη'!$G$2:$G289=$B170))&gt;0,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'Σύνοψη'!$C$2:$C289=E$3)), IF(SUMPRODUCT(('Σύνοψη'!$F$2:$F289=$A170)*('Σύνοψη'!$C$2:$C289=E$3)*('Σύνοψη'!$G$2:$G289&lt;$B170)*('Σύνοψη'!$H$2:$H289&gt;$B170))&gt;0, CHAR(34), """") ), """")"),"")</f>
        <v/>
      </c>
      <c r="F170" s="67" t="str">
        <f ca="1">IFERROR(__xludf.DUMMYFUNCTION("IFERROR(IF(SUMPRODUCT(('Σύνοψη'!$F$2:$F289=$A170)*('Σύνοψη'!$C$2:$C289=F$3)*('Σύνοψη'!$G$2:$G289=$B170))&gt;0,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'Σύνοψη'!$C$2:$C289=F$3)), IF(SUMPRODUCT(('Σύνοψη'!$F$2:$F289=$A170)*('Σύνοψη'!$C$2:$C289=F$3)*('Σύνοψη'!$G$2:$G289&lt;$B170)*('Σύνοψη'!$H$2:$H289&gt;$B170))&gt;0, CHAR(34), """") ), """")"),"")</f>
        <v/>
      </c>
      <c r="G170" s="67" t="str">
        <f ca="1">IFERROR(__xludf.DUMMYFUNCTION("IFERROR(IF(SUMPRODUCT(('Σύνοψη'!$F$2:$F289=$A170)*('Σύνοψη'!$C$2:$C289=G$3)*('Σύνοψη'!$G$2:$G289=$B170))&gt;0,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'Σύνοψη'!$C$2:$C289=G$3)), IF(SUMPRODUCT(('Σύνοψη'!$F$2:$F289=$A170)*('Σύνοψη'!$C$2:$C289=G$3)*('Σύνοψη'!$G$2:$G289&lt;$B170)*('Σύνοψη'!$H$2:$H289&gt;$B170))&gt;0, CHAR(34), """") ), """")"),"")</f>
        <v/>
      </c>
      <c r="H170" s="67" t="str">
        <f ca="1">IFERROR(__xludf.DUMMYFUNCTION("IFERROR(IF(SUMPRODUCT(('Σύνοψη'!$F$2:$F289=$A170)*('Σύνοψη'!$C$2:$C289=H$3)*('Σύνοψη'!$G$2:$G289=$B170))&gt;0, TEXTJOIN(CHAR(10) &amp; ""-----------------------"" &amp; CHAR(10), TRUE, FILTER('Σύνοψη'!$E$2:$E289 &amp; "" - "" &amp; 'Σύνοψη'!$I$2:$I289 &amp; "" ("" &amp; 'Σύνοψη'!$J"&amp;"$2:$J289 &amp; "")"", 'Σύνοψη'!$F$2:$F289=$A170, 'Σύνοψη'!$G$2:$G289=$B170, 'Σύνοψη'!$C$2:$C289=H$3)), IF(SUMPRODUCT(('Σύνοψη'!$F$2:$F289=$A170)*('Σύνοψη'!$C$2:$C289=H$3)*('Σύνοψη'!$G$2:$G289&lt;$B170)*('Σύνοψη'!$H$2:$H289&gt;$B170))&gt;0, CHAR(34), """") ), """")"),"")</f>
        <v/>
      </c>
      <c r="I170" s="3"/>
    </row>
    <row r="171" spans="1:9" s="100" customFormat="1" ht="210" x14ac:dyDescent="0.25">
      <c r="A171" s="95">
        <f t="shared" si="11"/>
        <v>46280</v>
      </c>
      <c r="B171" s="89">
        <v>0.70833333333333337</v>
      </c>
      <c r="C171" s="67" t="str">
        <f ca="1">IFERROR(__xludf.DUMMYFUNCTION("IFERROR(IF(SUMPRODUCT(('Σύνοψη'!$F$2:$F289=$A171)*('Σύνοψη'!$C$2:$C289=C$3)*('Σύνοψη'!$G$2:$G289=$B171))&gt;0,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'Σύνοψη'!$C$2:$C289=C$3)), IF(SUMPRODUCT(('Σύνοψη'!$F$2:$F289=$A171)*('Σύνοψη'!$C$2:$C289=C$3)*('Σύνοψη'!$G$2:$G289&lt;$B171)*('Σύνοψη'!$H$2:$H289&gt;$B171))&gt;0, CHAR(34), """") ), """")"),"""")</f>
        <v>"</v>
      </c>
      <c r="D171" s="67" t="str">
        <f ca="1">IFERROR(__xludf.DUMMYFUNCTION("IFERROR(IF(SUMPRODUCT(('Σύνοψη'!$F$2:$F289=$A171)*('Σύνοψη'!$C$2:$C289=D$3)*('Σύνοψη'!$G$2:$G289=$B171))&gt;0,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'Σύνοψη'!$C$2:$C289=D$3)), IF(SUMPRODUCT(('Σύνοψη'!$F$2:$F289=$A171)*('Σύνοψη'!$C$2:$C289=D$3)*('Σύνοψη'!$G$2:$G289&lt;$B171)*('Σύνοψη'!$H$2:$H289&gt;$B171))&gt;0, CHAR(34), """") ), """")"),"")</f>
        <v/>
      </c>
      <c r="E171" s="67" t="str">
        <f ca="1">IFERROR(__xludf.DUMMYFUNCTION("IFERROR(IF(SUMPRODUCT(('Σύνοψη'!$F$2:$F289=$A171)*('Σύνοψη'!$C$2:$C289=E$3)*('Σύνοψη'!$G$2:$G289=$B171))&gt;0,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'Σύνοψη'!$C$2:$C289=E$3)), IF(SUMPRODUCT(('Σύνοψη'!$F$2:$F289=$A171)*('Σύνοψη'!$C$2:$C289=E$3)*('Σύνοψη'!$G$2:$G289&lt;$B171)*('Σύνοψη'!$H$2:$H289&gt;$B171))&gt;0, CHAR(34), """") ), """")"),"Βασικές Αρχές Λειτουργίας &amp; Χρήσης Αναισθησιολογικού Εξοπλισμού - 17:00 - 20:00 (Αμφιθέατρα)
-----------------------
Εξειδικευμένα Μαθήματα Ερμηνείας Αποτελεσμάτων Εξετάσεων Κλινικής Διαγνωστικής στα Ζώα Συντροφιάς - 17:00 - 20:00 (Αμφιθέατρα)
-----------"&amp;"------------
Επιλεγμένα Νοσήματα της Άγριας Πανίδας - 17:00 - 20:00 (Αμφιθέατρα)")</f>
        <v>Βασικές Αρχές Λειτουργίας &amp; Χρήσης Αναισθησιολογικού Εξοπλισμού - 17:00 - 20:00 (Αμφιθέατρα)
-----------------------
Εξειδικευμένα Μαθήματα Ερμηνείας Αποτελεσμάτων Εξετάσεων Κλινικής Διαγνωστικής στα Ζώα Συντροφιάς - 17:00 - 20:00 (Αμφιθέατρα)
-----------------------
Επιλεγμένα Νοσήματα της Άγριας Πανίδας - 17:00 - 20:00 (Αμφιθέατρα)</v>
      </c>
      <c r="F171" s="67" t="str">
        <f ca="1">IFERROR(__xludf.DUMMYFUNCTION("IFERROR(IF(SUMPRODUCT(('Σύνοψη'!$F$2:$F289=$A171)*('Σύνοψη'!$C$2:$C289=F$3)*('Σύνοψη'!$G$2:$G289=$B171))&gt;0,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'Σύνοψη'!$C$2:$C289=F$3)), IF(SUMPRODUCT(('Σύνοψη'!$F$2:$F289=$A171)*('Σύνοψη'!$C$2:$C289=F$3)*('Σύνοψη'!$G$2:$G289&lt;$B171)*('Σύνοψη'!$H$2:$H289&gt;$B171))&gt;0, CHAR(34), """") ), """")"),"")</f>
        <v/>
      </c>
      <c r="G171" s="67" t="str">
        <f ca="1">IFERROR(__xludf.DUMMYFUNCTION("IFERROR(IF(SUMPRODUCT(('Σύνοψη'!$F$2:$F289=$A171)*('Σύνοψη'!$C$2:$C289=G$3)*('Σύνοψη'!$G$2:$G289=$B171))&gt;0,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'Σύνοψη'!$C$2:$C289=G$3)), IF(SUMPRODUCT(('Σύνοψη'!$F$2:$F289=$A171)*('Σύνοψη'!$C$2:$C289=G$3)*('Σύνοψη'!$G$2:$G289&lt;$B171)*('Σύνοψη'!$H$2:$H289&gt;$B171))&gt;0, CHAR(34), """") ), """")"),"")</f>
        <v/>
      </c>
      <c r="H171" s="67" t="str">
        <f ca="1">IFERROR(__xludf.DUMMYFUNCTION("IFERROR(IF(SUMPRODUCT(('Σύνοψη'!$F$2:$F289=$A171)*('Σύνοψη'!$C$2:$C289=H$3)*('Σύνοψη'!$G$2:$G289=$B171))&gt;0, TEXTJOIN(CHAR(10) &amp; ""-----------------------"" &amp; CHAR(10), TRUE, FILTER('Σύνοψη'!$E$2:$E289 &amp; "" - "" &amp; 'Σύνοψη'!$I$2:$I289 &amp; "" ("" &amp; 'Σύνοψη'!$J"&amp;"$2:$J289 &amp; "")"", 'Σύνοψη'!$F$2:$F289=$A171, 'Σύνοψη'!$G$2:$G289=$B171, 'Σύνοψη'!$C$2:$C289=H$3)), IF(SUMPRODUCT(('Σύνοψη'!$F$2:$F289=$A171)*('Σύνοψη'!$C$2:$C289=H$3)*('Σύνοψη'!$G$2:$G289&lt;$B171)*('Σύνοψη'!$H$2:$H289&gt;$B171))&gt;0, CHAR(34), """") ), """")"),"")</f>
        <v/>
      </c>
      <c r="I171" s="3"/>
    </row>
    <row r="172" spans="1:9" s="100" customFormat="1" x14ac:dyDescent="0.25">
      <c r="A172" s="95">
        <f t="shared" si="11"/>
        <v>46280</v>
      </c>
      <c r="B172" s="89">
        <v>0.75</v>
      </c>
      <c r="C172" s="67" t="str">
        <f ca="1">IFERROR(__xludf.DUMMYFUNCTION("IFERROR(IF(SUMPRODUCT(('Σύνοψη'!$F$2:$F289=$A172)*('Σύνοψη'!$C$2:$C289=C$3)*('Σύνοψη'!$G$2:$G289=$B172))&gt;0,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'Σύνοψη'!$C$2:$C289=C$3)), IF(SUMPRODUCT(('Σύνοψη'!$F$2:$F289=$A172)*('Σύνοψη'!$C$2:$C289=C$3)*('Σύνοψη'!$G$2:$G289&lt;$B172)*('Σύνοψη'!$H$2:$H289&gt;$B172))&gt;0, CHAR(34), """") ), """")"),"")</f>
        <v/>
      </c>
      <c r="D172" s="67" t="str">
        <f ca="1">IFERROR(__xludf.DUMMYFUNCTION("IFERROR(IF(SUMPRODUCT(('Σύνοψη'!$F$2:$F289=$A172)*('Σύνοψη'!$C$2:$C289=D$3)*('Σύνοψη'!$G$2:$G289=$B172))&gt;0,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'Σύνοψη'!$C$2:$C289=D$3)), IF(SUMPRODUCT(('Σύνοψη'!$F$2:$F289=$A172)*('Σύνοψη'!$C$2:$C289=D$3)*('Σύνοψη'!$G$2:$G289&lt;$B172)*('Σύνοψη'!$H$2:$H289&gt;$B172))&gt;0, CHAR(34), """") ), """")"),"")</f>
        <v/>
      </c>
      <c r="E172" s="67" t="str">
        <f ca="1">IFERROR(__xludf.DUMMYFUNCTION("IFERROR(IF(SUMPRODUCT(('Σύνοψη'!$F$2:$F289=$A172)*('Σύνοψη'!$C$2:$C289=E$3)*('Σύνοψη'!$G$2:$G289=$B172))&gt;0,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'Σύνοψη'!$C$2:$C289=E$3)), IF(SUMPRODUCT(('Σύνοψη'!$F$2:$F289=$A172)*('Σύνοψη'!$C$2:$C289=E$3)*('Σύνοψη'!$G$2:$G289&lt;$B172)*('Σύνοψη'!$H$2:$H289&gt;$B172))&gt;0, CHAR(34), """") ), """")"),"""")</f>
        <v>"</v>
      </c>
      <c r="F172" s="67" t="str">
        <f ca="1">IFERROR(__xludf.DUMMYFUNCTION("IFERROR(IF(SUMPRODUCT(('Σύνοψη'!$F$2:$F289=$A172)*('Σύνοψη'!$C$2:$C289=F$3)*('Σύνοψη'!$G$2:$G289=$B172))&gt;0,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'Σύνοψη'!$C$2:$C289=F$3)), IF(SUMPRODUCT(('Σύνοψη'!$F$2:$F289=$A172)*('Σύνοψη'!$C$2:$C289=F$3)*('Σύνοψη'!$G$2:$G289&lt;$B172)*('Σύνοψη'!$H$2:$H289&gt;$B172))&gt;0, CHAR(34), """") ), """")"),"")</f>
        <v/>
      </c>
      <c r="G172" s="67" t="str">
        <f ca="1">IFERROR(__xludf.DUMMYFUNCTION("IFERROR(IF(SUMPRODUCT(('Σύνοψη'!$F$2:$F289=$A172)*('Σύνοψη'!$C$2:$C289=G$3)*('Σύνοψη'!$G$2:$G289=$B172))&gt;0,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'Σύνοψη'!$C$2:$C289=G$3)), IF(SUMPRODUCT(('Σύνοψη'!$F$2:$F289=$A172)*('Σύνοψη'!$C$2:$C289=G$3)*('Σύνοψη'!$G$2:$G289&lt;$B172)*('Σύνοψη'!$H$2:$H289&gt;$B172))&gt;0, CHAR(34), """") ), """")"),"")</f>
        <v/>
      </c>
      <c r="H172" s="67" t="str">
        <f ca="1">IFERROR(__xludf.DUMMYFUNCTION("IFERROR(IF(SUMPRODUCT(('Σύνοψη'!$F$2:$F289=$A172)*('Σύνοψη'!$C$2:$C289=H$3)*('Σύνοψη'!$G$2:$G289=$B172))&gt;0, TEXTJOIN(CHAR(10) &amp; ""-----------------------"" &amp; CHAR(10), TRUE, FILTER('Σύνοψη'!$E$2:$E289 &amp; "" - "" &amp; 'Σύνοψη'!$I$2:$I289 &amp; "" ("" &amp; 'Σύνοψη'!$J"&amp;"$2:$J289 &amp; "")"", 'Σύνοψη'!$F$2:$F289=$A172, 'Σύνοψη'!$G$2:$G289=$B172, 'Σύνοψη'!$C$2:$C289=H$3)), IF(SUMPRODUCT(('Σύνοψη'!$F$2:$F289=$A172)*('Σύνοψη'!$C$2:$C289=H$3)*('Σύνοψη'!$G$2:$G289&lt;$B172)*('Σύνοψη'!$H$2:$H289&gt;$B172))&gt;0, CHAR(34), """") ), """")"),"")</f>
        <v/>
      </c>
      <c r="I172" s="3"/>
    </row>
    <row r="173" spans="1:9" s="100" customFormat="1" x14ac:dyDescent="0.25">
      <c r="A173" s="95">
        <f t="shared" si="11"/>
        <v>46280</v>
      </c>
      <c r="B173" s="89">
        <v>0.79166666666666663</v>
      </c>
      <c r="C173" s="67" t="str">
        <f ca="1">IFERROR(__xludf.DUMMYFUNCTION("IFERROR(IF(SUMPRODUCT(('Σύνοψη'!$F$2:$F289=$A173)*('Σύνοψη'!$C$2:$C289=C$3)*('Σύνοψη'!$G$2:$G289=$B173))&gt;0,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'Σύνοψη'!$C$2:$C289=C$3)), IF(SUMPRODUCT(('Σύνοψη'!$F$2:$F289=$A173)*('Σύνοψη'!$C$2:$C289=C$3)*('Σύνοψη'!$G$2:$G289&lt;$B173)*('Σύνοψη'!$H$2:$H289&gt;$B173))&gt;0, CHAR(34), """") ), """")"),"")</f>
        <v/>
      </c>
      <c r="D173" s="67" t="str">
        <f ca="1">IFERROR(__xludf.DUMMYFUNCTION("IFERROR(IF(SUMPRODUCT(('Σύνοψη'!$F$2:$F289=$A173)*('Σύνοψη'!$C$2:$C289=D$3)*('Σύνοψη'!$G$2:$G289=$B173))&gt;0,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'Σύνοψη'!$C$2:$C289=D$3)), IF(SUMPRODUCT(('Σύνοψη'!$F$2:$F289=$A173)*('Σύνοψη'!$C$2:$C289=D$3)*('Σύνοψη'!$G$2:$G289&lt;$B173)*('Σύνοψη'!$H$2:$H289&gt;$B173))&gt;0, CHAR(34), """") ), """")"),"")</f>
        <v/>
      </c>
      <c r="E173" s="67" t="str">
        <f ca="1">IFERROR(__xludf.DUMMYFUNCTION("IFERROR(IF(SUMPRODUCT(('Σύνοψη'!$F$2:$F289=$A173)*('Σύνοψη'!$C$2:$C289=E$3)*('Σύνοψη'!$G$2:$G289=$B173))&gt;0,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'Σύνοψη'!$C$2:$C289=E$3)), IF(SUMPRODUCT(('Σύνοψη'!$F$2:$F289=$A173)*('Σύνοψη'!$C$2:$C289=E$3)*('Σύνοψη'!$G$2:$G289&lt;$B173)*('Σύνοψη'!$H$2:$H289&gt;$B173))&gt;0, CHAR(34), """") ), """")"),"""")</f>
        <v>"</v>
      </c>
      <c r="F173" s="67" t="str">
        <f ca="1">IFERROR(__xludf.DUMMYFUNCTION("IFERROR(IF(SUMPRODUCT(('Σύνοψη'!$F$2:$F289=$A173)*('Σύνοψη'!$C$2:$C289=F$3)*('Σύνοψη'!$G$2:$G289=$B173))&gt;0,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'Σύνοψη'!$C$2:$C289=F$3)), IF(SUMPRODUCT(('Σύνοψη'!$F$2:$F289=$A173)*('Σύνοψη'!$C$2:$C289=F$3)*('Σύνοψη'!$G$2:$G289&lt;$B173)*('Σύνοψη'!$H$2:$H289&gt;$B173))&gt;0, CHAR(34), """") ), """")"),"")</f>
        <v/>
      </c>
      <c r="G173" s="67" t="str">
        <f ca="1">IFERROR(__xludf.DUMMYFUNCTION("IFERROR(IF(SUMPRODUCT(('Σύνοψη'!$F$2:$F289=$A173)*('Σύνοψη'!$C$2:$C289=G$3)*('Σύνοψη'!$G$2:$G289=$B173))&gt;0,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'Σύνοψη'!$C$2:$C289=G$3)), IF(SUMPRODUCT(('Σύνοψη'!$F$2:$F289=$A173)*('Σύνοψη'!$C$2:$C289=G$3)*('Σύνοψη'!$G$2:$G289&lt;$B173)*('Σύνοψη'!$H$2:$H289&gt;$B173))&gt;0, CHAR(34), """") ), """")"),"")</f>
        <v/>
      </c>
      <c r="H173" s="67" t="str">
        <f ca="1">IFERROR(__xludf.DUMMYFUNCTION("IFERROR(IF(SUMPRODUCT(('Σύνοψη'!$F$2:$F289=$A173)*('Σύνοψη'!$C$2:$C289=H$3)*('Σύνοψη'!$G$2:$G289=$B173))&gt;0, TEXTJOIN(CHAR(10) &amp; ""-----------------------"" &amp; CHAR(10), TRUE, FILTER('Σύνοψη'!$E$2:$E289 &amp; "" - "" &amp; 'Σύνοψη'!$I$2:$I289 &amp; "" ("" &amp; 'Σύνοψη'!$J"&amp;"$2:$J289 &amp; "")"", 'Σύνοψη'!$F$2:$F289=$A173, 'Σύνοψη'!$G$2:$G289=$B173, 'Σύνοψη'!$C$2:$C289=H$3)), IF(SUMPRODUCT(('Σύνοψη'!$F$2:$F289=$A173)*('Σύνοψη'!$C$2:$C289=H$3)*('Σύνοψη'!$G$2:$G289&lt;$B173)*('Σύνοψη'!$H$2:$H289&gt;$B173))&gt;0, CHAR(34), """") ), """")"),"")</f>
        <v/>
      </c>
      <c r="I173" s="3"/>
    </row>
    <row r="174" spans="1:9" s="100" customFormat="1" x14ac:dyDescent="0.25">
      <c r="A174" s="95">
        <f t="shared" si="11"/>
        <v>46280</v>
      </c>
      <c r="B174" s="89">
        <v>0.83333333333333337</v>
      </c>
      <c r="C174" s="67" t="str">
        <f ca="1">IFERROR(__xludf.DUMMYFUNCTION("IFERROR(IF(SUMPRODUCT(('Σύνοψη'!$F$2:$F289=$A174)*('Σύνοψη'!$C$2:$C289=C$3)*('Σύνοψη'!$G$2:$G289=$B174))&gt;0,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'Σύνοψη'!$C$2:$C289=C$3)), IF(SUMPRODUCT(('Σύνοψη'!$F$2:$F289=$A174)*('Σύνοψη'!$C$2:$C289=C$3)*('Σύνοψη'!$G$2:$G289&lt;$B174)*('Σύνοψη'!$H$2:$H289&gt;$B174))&gt;0, CHAR(34), """") ), """")"),"")</f>
        <v/>
      </c>
      <c r="D174" s="67" t="str">
        <f ca="1">IFERROR(__xludf.DUMMYFUNCTION("IFERROR(IF(SUMPRODUCT(('Σύνοψη'!$F$2:$F289=$A174)*('Σύνοψη'!$C$2:$C289=D$3)*('Σύνοψη'!$G$2:$G289=$B174))&gt;0,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'Σύνοψη'!$C$2:$C289=D$3)), IF(SUMPRODUCT(('Σύνοψη'!$F$2:$F289=$A174)*('Σύνοψη'!$C$2:$C289=D$3)*('Σύνοψη'!$G$2:$G289&lt;$B174)*('Σύνοψη'!$H$2:$H289&gt;$B174))&gt;0, CHAR(34), """") ), """")"),"")</f>
        <v/>
      </c>
      <c r="E174" s="67" t="str">
        <f ca="1">IFERROR(__xludf.DUMMYFUNCTION("IFERROR(IF(SUMPRODUCT(('Σύνοψη'!$F$2:$F289=$A174)*('Σύνοψη'!$C$2:$C289=E$3)*('Σύνοψη'!$G$2:$G289=$B174))&gt;0,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'Σύνοψη'!$C$2:$C289=E$3)), IF(SUMPRODUCT(('Σύνοψη'!$F$2:$F289=$A174)*('Σύνοψη'!$C$2:$C289=E$3)*('Σύνοψη'!$G$2:$G289&lt;$B174)*('Σύνοψη'!$H$2:$H289&gt;$B174))&gt;0, CHAR(34), """") ), """")"),"")</f>
        <v/>
      </c>
      <c r="F174" s="67" t="str">
        <f ca="1">IFERROR(__xludf.DUMMYFUNCTION("IFERROR(IF(SUMPRODUCT(('Σύνοψη'!$F$2:$F289=$A174)*('Σύνοψη'!$C$2:$C289=F$3)*('Σύνοψη'!$G$2:$G289=$B174))&gt;0,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'Σύνοψη'!$C$2:$C289=F$3)), IF(SUMPRODUCT(('Σύνοψη'!$F$2:$F289=$A174)*('Σύνοψη'!$C$2:$C289=F$3)*('Σύνοψη'!$G$2:$G289&lt;$B174)*('Σύνοψη'!$H$2:$H289&gt;$B174))&gt;0, CHAR(34), """") ), """")"),"")</f>
        <v/>
      </c>
      <c r="G174" s="67" t="str">
        <f ca="1">IFERROR(__xludf.DUMMYFUNCTION("IFERROR(IF(SUMPRODUCT(('Σύνοψη'!$F$2:$F289=$A174)*('Σύνοψη'!$C$2:$C289=G$3)*('Σύνοψη'!$G$2:$G289=$B174))&gt;0,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'Σύνοψη'!$C$2:$C289=G$3)), IF(SUMPRODUCT(('Σύνοψη'!$F$2:$F289=$A174)*('Σύνοψη'!$C$2:$C289=G$3)*('Σύνοψη'!$G$2:$G289&lt;$B174)*('Σύνοψη'!$H$2:$H289&gt;$B174))&gt;0, CHAR(34), """") ), """")"),"")</f>
        <v/>
      </c>
      <c r="H174" s="67" t="str">
        <f ca="1">IFERROR(__xludf.DUMMYFUNCTION("IFERROR(IF(SUMPRODUCT(('Σύνοψη'!$F$2:$F289=$A174)*('Σύνοψη'!$C$2:$C289=H$3)*('Σύνοψη'!$G$2:$G289=$B174))&gt;0, TEXTJOIN(CHAR(10) &amp; ""-----------------------"" &amp; CHAR(10), TRUE, FILTER('Σύνοψη'!$E$2:$E289 &amp; "" - "" &amp; 'Σύνοψη'!$I$2:$I289 &amp; "" ("" &amp; 'Σύνοψη'!$J"&amp;"$2:$J289 &amp; "")"", 'Σύνοψη'!$F$2:$F289=$A174, 'Σύνοψη'!$G$2:$G289=$B174, 'Σύνοψη'!$C$2:$C289=H$3)), IF(SUMPRODUCT(('Σύνοψη'!$F$2:$F289=$A174)*('Σύνοψη'!$C$2:$C289=H$3)*('Σύνοψη'!$G$2:$G289&lt;$B174)*('Σύνοψη'!$H$2:$H289&gt;$B174))&gt;0, CHAR(34), """") ), """")"),"")</f>
        <v/>
      </c>
      <c r="I174" s="3"/>
    </row>
    <row r="175" spans="1:9" s="100" customFormat="1" x14ac:dyDescent="0.25">
      <c r="A175" s="95">
        <f t="shared" si="11"/>
        <v>46280</v>
      </c>
      <c r="B175" s="89">
        <v>0.875</v>
      </c>
      <c r="C175" s="67" t="str">
        <f ca="1">IFERROR(__xludf.DUMMYFUNCTION("IFERROR(IF(SUMPRODUCT(('Σύνοψη'!$F$2:$F289=$A175)*('Σύνοψη'!$C$2:$C289=C$3)*('Σύνοψη'!$G$2:$G289=$B175))&gt;0,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'Σύνοψη'!$C$2:$C289=C$3)), IF(SUMPRODUCT(('Σύνοψη'!$F$2:$F289=$A175)*('Σύνοψη'!$C$2:$C289=C$3)*('Σύνοψη'!$G$2:$G289&lt;$B175)*('Σύνοψη'!$H$2:$H289&gt;$B175))&gt;0, CHAR(34), """") ), """")"),"")</f>
        <v/>
      </c>
      <c r="D175" s="67" t="str">
        <f ca="1">IFERROR(__xludf.DUMMYFUNCTION("IFERROR(IF(SUMPRODUCT(('Σύνοψη'!$F$2:$F289=$A175)*('Σύνοψη'!$C$2:$C289=D$3)*('Σύνοψη'!$G$2:$G289=$B175))&gt;0,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'Σύνοψη'!$C$2:$C289=D$3)), IF(SUMPRODUCT(('Σύνοψη'!$F$2:$F289=$A175)*('Σύνοψη'!$C$2:$C289=D$3)*('Σύνοψη'!$G$2:$G289&lt;$B175)*('Σύνοψη'!$H$2:$H289&gt;$B175))&gt;0, CHAR(34), """") ), """")"),"")</f>
        <v/>
      </c>
      <c r="E175" s="67" t="str">
        <f ca="1">IFERROR(__xludf.DUMMYFUNCTION("IFERROR(IF(SUMPRODUCT(('Σύνοψη'!$F$2:$F289=$A175)*('Σύνοψη'!$C$2:$C289=E$3)*('Σύνοψη'!$G$2:$G289=$B175))&gt;0,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'Σύνοψη'!$C$2:$C289=E$3)), IF(SUMPRODUCT(('Σύνοψη'!$F$2:$F289=$A175)*('Σύνοψη'!$C$2:$C289=E$3)*('Σύνοψη'!$G$2:$G289&lt;$B175)*('Σύνοψη'!$H$2:$H289&gt;$B175))&gt;0, CHAR(34), """") ), """")"),"")</f>
        <v/>
      </c>
      <c r="F175" s="67" t="str">
        <f ca="1">IFERROR(__xludf.DUMMYFUNCTION("IFERROR(IF(SUMPRODUCT(('Σύνοψη'!$F$2:$F289=$A175)*('Σύνοψη'!$C$2:$C289=F$3)*('Σύνοψη'!$G$2:$G289=$B175))&gt;0,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'Σύνοψη'!$C$2:$C289=F$3)), IF(SUMPRODUCT(('Σύνοψη'!$F$2:$F289=$A175)*('Σύνοψη'!$C$2:$C289=F$3)*('Σύνοψη'!$G$2:$G289&lt;$B175)*('Σύνοψη'!$H$2:$H289&gt;$B175))&gt;0, CHAR(34), """") ), """")"),"")</f>
        <v/>
      </c>
      <c r="G175" s="67" t="str">
        <f ca="1">IFERROR(__xludf.DUMMYFUNCTION("IFERROR(IF(SUMPRODUCT(('Σύνοψη'!$F$2:$F289=$A175)*('Σύνοψη'!$C$2:$C289=G$3)*('Σύνοψη'!$G$2:$G289=$B175))&gt;0,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'Σύνοψη'!$C$2:$C289=G$3)), IF(SUMPRODUCT(('Σύνοψη'!$F$2:$F289=$A175)*('Σύνοψη'!$C$2:$C289=G$3)*('Σύνοψη'!$G$2:$G289&lt;$B175)*('Σύνοψη'!$H$2:$H289&gt;$B175))&gt;0, CHAR(34), """") ), """")"),"")</f>
        <v/>
      </c>
      <c r="H175" s="67" t="str">
        <f ca="1">IFERROR(__xludf.DUMMYFUNCTION("IFERROR(IF(SUMPRODUCT(('Σύνοψη'!$F$2:$F289=$A175)*('Σύνοψη'!$C$2:$C289=H$3)*('Σύνοψη'!$G$2:$G289=$B175))&gt;0, TEXTJOIN(CHAR(10) &amp; ""-----------------------"" &amp; CHAR(10), TRUE, FILTER('Σύνοψη'!$E$2:$E289 &amp; "" - "" &amp; 'Σύνοψη'!$I$2:$I289 &amp; "" ("" &amp; 'Σύνοψη'!$J"&amp;"$2:$J289 &amp; "")"", 'Σύνοψη'!$F$2:$F289=$A175, 'Σύνοψη'!$G$2:$G289=$B175, 'Σύνοψη'!$C$2:$C289=H$3)), IF(SUMPRODUCT(('Σύνοψη'!$F$2:$F289=$A175)*('Σύνοψη'!$C$2:$C289=H$3)*('Σύνοψη'!$G$2:$G289&lt;$B175)*('Σύνοψη'!$H$2:$H289&gt;$B175))&gt;0, CHAR(34), """") ), """")"),"")</f>
        <v/>
      </c>
      <c r="I175" s="3"/>
    </row>
    <row r="176" spans="1:9" s="100" customFormat="1" x14ac:dyDescent="0.25">
      <c r="A176" s="93">
        <f>$D$1+16</f>
        <v>46281</v>
      </c>
      <c r="B176" s="94">
        <v>0.33333333333333331</v>
      </c>
      <c r="C176" s="66" t="str">
        <f ca="1">IFERROR(__xludf.DUMMYFUNCTION("IFERROR(IF(SUMPRODUCT(('Σύνοψη'!$F$2:$F289=$A176)*('Σύνοψη'!$C$2:$C289=C$3)*('Σύνοψη'!$G$2:$G289=$B176))&gt;0,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'Σύνοψη'!$C$2:$C289=C$3)), IF(SUMPRODUCT(('Σύνοψη'!$F$2:$F289=$A176)*('Σύνοψη'!$C$2:$C289=C$3)*('Σύνοψη'!$G$2:$G289&lt;$B176)*('Σύνοψη'!$H$2:$H289&gt;$B176))&gt;0, CHAR(34), """") ), """")"),"")</f>
        <v/>
      </c>
      <c r="D176" s="66" t="str">
        <f ca="1">IFERROR(__xludf.DUMMYFUNCTION("IFERROR(IF(SUMPRODUCT(('Σύνοψη'!$F$2:$F289=$A176)*('Σύνοψη'!$C$2:$C289=D$3)*('Σύνοψη'!$G$2:$G289=$B176))&gt;0,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'Σύνοψη'!$C$2:$C289=D$3)), IF(SUMPRODUCT(('Σύνοψη'!$F$2:$F289=$A176)*('Σύνοψη'!$C$2:$C289=D$3)*('Σύνοψη'!$G$2:$G289&lt;$B176)*('Σύνοψη'!$H$2:$H289&gt;$B176))&gt;0, CHAR(34), """") ), """")"),"")</f>
        <v/>
      </c>
      <c r="E176" s="66" t="str">
        <f ca="1">IFERROR(__xludf.DUMMYFUNCTION("IFERROR(IF(SUMPRODUCT(('Σύνοψη'!$F$2:$F289=$A176)*('Σύνοψη'!$C$2:$C289=E$3)*('Σύνοψη'!$G$2:$G289=$B176))&gt;0,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'Σύνοψη'!$C$2:$C289=E$3)), IF(SUMPRODUCT(('Σύνοψη'!$F$2:$F289=$A176)*('Σύνοψη'!$C$2:$C289=E$3)*('Σύνοψη'!$G$2:$G289&lt;$B176)*('Σύνοψη'!$H$2:$H289&gt;$B176))&gt;0, CHAR(34), """") ), """")"),"")</f>
        <v/>
      </c>
      <c r="F176" s="66" t="str">
        <f ca="1">IFERROR(__xludf.DUMMYFUNCTION("IFERROR(IF(SUMPRODUCT(('Σύνοψη'!$F$2:$F289=$A176)*('Σύνοψη'!$C$2:$C289=F$3)*('Σύνοψη'!$G$2:$G289=$B176))&gt;0,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'Σύνοψη'!$C$2:$C289=F$3)), IF(SUMPRODUCT(('Σύνοψη'!$F$2:$F289=$A176)*('Σύνοψη'!$C$2:$C289=F$3)*('Σύνοψη'!$G$2:$G289&lt;$B176)*('Σύνοψη'!$H$2:$H289&gt;$B176))&gt;0, CHAR(34), """") ), """")"),"")</f>
        <v/>
      </c>
      <c r="G176" s="66" t="str">
        <f ca="1">IFERROR(__xludf.DUMMYFUNCTION("IFERROR(IF(SUMPRODUCT(('Σύνοψη'!$F$2:$F289=$A176)*('Σύνοψη'!$C$2:$C289=G$3)*('Σύνοψη'!$G$2:$G289=$B176))&gt;0,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'Σύνοψη'!$C$2:$C289=G$3)), IF(SUMPRODUCT(('Σύνοψη'!$F$2:$F289=$A176)*('Σύνοψη'!$C$2:$C289=G$3)*('Σύνοψη'!$G$2:$G289&lt;$B176)*('Σύνοψη'!$H$2:$H289&gt;$B176))&gt;0, CHAR(34), """") ), """")"),"")</f>
        <v/>
      </c>
      <c r="H176" s="66" t="str">
        <f ca="1">IFERROR(__xludf.DUMMYFUNCTION("IFERROR(IF(SUMPRODUCT(('Σύνοψη'!$F$2:$F289=$A176)*('Σύνοψη'!$C$2:$C289=H$3)*('Σύνοψη'!$G$2:$G289=$B176))&gt;0, TEXTJOIN(CHAR(10) &amp; ""-----------------------"" &amp; CHAR(10), TRUE, FILTER('Σύνοψη'!$E$2:$E289 &amp; "" - "" &amp; 'Σύνοψη'!$I$2:$I289 &amp; "" ("" &amp; 'Σύνοψη'!$J"&amp;"$2:$J289 &amp; "")"", 'Σύνοψη'!$F$2:$F289=$A176, 'Σύνοψη'!$G$2:$G289=$B176, 'Σύνοψη'!$C$2:$C289=H$3)), IF(SUMPRODUCT(('Σύνοψη'!$F$2:$F289=$A176)*('Σύνοψη'!$C$2:$C289=H$3)*('Σύνοψη'!$G$2:$G289&lt;$B176)*('Σύνοψη'!$H$2:$H289&gt;$B176))&gt;0, CHAR(34), """") ), """")"),"")</f>
        <v/>
      </c>
      <c r="I176" s="3"/>
    </row>
    <row r="177" spans="1:9" s="100" customFormat="1" ht="120" x14ac:dyDescent="0.25">
      <c r="A177" s="95">
        <f t="shared" ref="A177:A189" si="12">$A$176</f>
        <v>46281</v>
      </c>
      <c r="B177" s="89">
        <v>0.375</v>
      </c>
      <c r="C177" s="67" t="str">
        <f ca="1">IFERROR(__xludf.DUMMYFUNCTION("IFERROR(IF(SUMPRODUCT(('Σύνοψη'!$F$2:$F289=$A177)*('Σύνοψη'!$C$2:$C289=C$3)*('Σύνοψη'!$G$2:$G289=$B177))&gt;0,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'Σύνοψη'!$C$2:$C289=C$3)), IF(SUMPRODUCT(('Σύνοψη'!$F$2:$F289=$A177)*('Σύνοψη'!$C$2:$C289=C$3)*('Σύνοψη'!$G$2:$G289&lt;$B177)*('Σύνοψη'!$H$2:$H289&gt;$B177))&gt;0, CHAR(34), """") ), """")"),"")</f>
        <v/>
      </c>
      <c r="D177" s="67" t="str">
        <f ca="1">IFERROR(__xludf.DUMMYFUNCTION("IFERROR(IF(SUMPRODUCT(('Σύνοψη'!$F$2:$F289=$A177)*('Σύνοψη'!$C$2:$C289=D$3)*('Σύνοψη'!$G$2:$G289=$B177))&gt;0,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'Σύνοψη'!$C$2:$C289=D$3)), IF(SUMPRODUCT(('Σύνοψη'!$F$2:$F289=$A177)*('Σύνοψη'!$C$2:$C289=D$3)*('Σύνοψη'!$G$2:$G289&lt;$B177)*('Σύνοψη'!$H$2:$H289&gt;$B177))&gt;0, CHAR(34), """") ), """")"),"")</f>
        <v/>
      </c>
      <c r="E177" s="67" t="str">
        <f ca="1">IFERROR(__xludf.DUMMYFUNCTION("IFERROR(IF(SUMPRODUCT(('Σύνοψη'!$F$2:$F289=$A177)*('Σύνοψη'!$C$2:$C289=E$3)*('Σύνοψη'!$G$2:$G289=$B177))&gt;0,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'Σύνοψη'!$C$2:$C289=E$3)), IF(SUMPRODUCT(('Σύνοψη'!$F$2:$F289=$A177)*('Σύνοψη'!$C$2:$C289=E$3)*('Σύνοψη'!$G$2:$G289&lt;$B177)*('Σύνοψη'!$H$2:$H289&gt;$B177))&gt;0, CHAR(34), """") ), """")"),"Μαιευτική &amp; Αναπαραγωγή Ι - 09:00 - 12:00 (Αμφιθέατρα)")</f>
        <v>Μαιευτική &amp; Αναπαραγωγή Ι - 09:00 - 12:00 (Αμφιθέατρα)</v>
      </c>
      <c r="F177" s="67" t="str">
        <f ca="1">IFERROR(__xludf.DUMMYFUNCTION("IFERROR(IF(SUMPRODUCT(('Σύνοψη'!$F$2:$F289=$A177)*('Σύνοψη'!$C$2:$C289=F$3)*('Σύνοψη'!$G$2:$G289=$B177))&gt;0,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'Σύνοψη'!$C$2:$C289=F$3)), IF(SUMPRODUCT(('Σύνοψη'!$F$2:$F289=$A177)*('Σύνοψη'!$C$2:$C289=F$3)*('Σύνοψη'!$G$2:$G289&lt;$B177)*('Σύνοψη'!$H$2:$H289&gt;$B177))&gt;0, CHAR(34), """") ), """")"),"Φυσιολογία &amp; Παθολογία Αναπαραγωγής Αρσενικών Θηλαστικών Ζώων &amp; Τεχνητή Σπερματέγχυση - 09:00 - 12:00 (Αμφιθέατρα)
-----------------------
Μαιευτική &amp; Αναπαραγωγή ΙV - 09:00 - 12:00 (Αμφιθέατρα)")</f>
        <v>Φυσιολογία &amp; Παθολογία Αναπαραγωγής Αρσενικών Θηλαστικών Ζώων &amp; Τεχνητή Σπερματέγχυση - 09:00 - 12:00 (Αμφιθέατρα)
-----------------------
Μαιευτική &amp; Αναπαραγωγή ΙV - 09:00 - 12:00 (Αμφιθέατρα)</v>
      </c>
      <c r="G177" s="67" t="str">
        <f ca="1">IFERROR(__xludf.DUMMYFUNCTION("IFERROR(IF(SUMPRODUCT(('Σύνοψη'!$F$2:$F289=$A177)*('Σύνοψη'!$C$2:$C289=G$3)*('Σύνοψη'!$G$2:$G289=$B177))&gt;0,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'Σύνοψη'!$C$2:$C289=G$3)), IF(SUMPRODUCT(('Σύνοψη'!$F$2:$F289=$A177)*('Σύνοψη'!$C$2:$C289=G$3)*('Σύνοψη'!$G$2:$G289&lt;$B177)*('Σύνοψη'!$H$2:$H289&gt;$B177))&gt;0, CHAR(34), """") ), """")"),"Πρακτική Άσκηση στη Μαιευτική &amp; Αναπαραγωγή των Κατοικιδίων Θηλαστικών Ι - 09:00 - 12:00 (Αμφιθέατρα)")</f>
        <v>Πρακτική Άσκηση στη Μαιευτική &amp; Αναπαραγωγή των Κατοικιδίων Θηλαστικών Ι - 09:00 - 12:00 (Αμφιθέατρα)</v>
      </c>
      <c r="H177" s="67" t="str">
        <f ca="1">IFERROR(__xludf.DUMMYFUNCTION("IFERROR(IF(SUMPRODUCT(('Σύνοψη'!$F$2:$F289=$A177)*('Σύνοψη'!$C$2:$C289=H$3)*('Σύνοψη'!$G$2:$G289=$B177))&gt;0, TEXTJOIN(CHAR(10) &amp; ""-----------------------"" &amp; CHAR(10), TRUE, FILTER('Σύνοψη'!$E$2:$E289 &amp; "" - "" &amp; 'Σύνοψη'!$I$2:$I289 &amp; "" ("" &amp; 'Σύνοψη'!$J"&amp;"$2:$J289 &amp; "")"", 'Σύνοψη'!$F$2:$F289=$A177, 'Σύνοψη'!$G$2:$G289=$B177, 'Σύνοψη'!$C$2:$C289=H$3)), IF(SUMPRODUCT(('Σύνοψη'!$F$2:$F289=$A177)*('Σύνοψη'!$C$2:$C289=H$3)*('Σύνοψη'!$G$2:$G289&lt;$B177)*('Σύνοψη'!$H$2:$H289&gt;$B177))&gt;0, CHAR(34), """") ), """")"),"Αναπαραγωγή Αρσενικού (ΠΠΣ) -  (Αμφιθέατρα)")</f>
        <v>Αναπαραγωγή Αρσενικού (ΠΠΣ) -  (Αμφιθέατρα)</v>
      </c>
      <c r="I177" s="3"/>
    </row>
    <row r="178" spans="1:9" s="100" customFormat="1" x14ac:dyDescent="0.25">
      <c r="A178" s="95">
        <f t="shared" si="12"/>
        <v>46281</v>
      </c>
      <c r="B178" s="89">
        <v>0.41666666666666669</v>
      </c>
      <c r="C178" s="67" t="str">
        <f ca="1">IFERROR(__xludf.DUMMYFUNCTION("IFERROR(IF(SUMPRODUCT(('Σύνοψη'!$F$2:$F289=$A178)*('Σύνοψη'!$C$2:$C289=C$3)*('Σύνοψη'!$G$2:$G289=$B178))&gt;0,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'Σύνοψη'!$C$2:$C289=C$3)), IF(SUMPRODUCT(('Σύνοψη'!$F$2:$F289=$A178)*('Σύνοψη'!$C$2:$C289=C$3)*('Σύνοψη'!$G$2:$G289&lt;$B178)*('Σύνοψη'!$H$2:$H289&gt;$B178))&gt;0, CHAR(34), """") ), """")"),"")</f>
        <v/>
      </c>
      <c r="D178" s="67" t="str">
        <f ca="1">IFERROR(__xludf.DUMMYFUNCTION("IFERROR(IF(SUMPRODUCT(('Σύνοψη'!$F$2:$F289=$A178)*('Σύνοψη'!$C$2:$C289=D$3)*('Σύνοψη'!$G$2:$G289=$B178))&gt;0,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'Σύνοψη'!$C$2:$C289=D$3)), IF(SUMPRODUCT(('Σύνοψη'!$F$2:$F289=$A178)*('Σύνοψη'!$C$2:$C289=D$3)*('Σύνοψη'!$G$2:$G289&lt;$B178)*('Σύνοψη'!$H$2:$H289&gt;$B178))&gt;0, CHAR(34), """") ), """")"),"")</f>
        <v/>
      </c>
      <c r="E178" s="67" t="str">
        <f ca="1">IFERROR(__xludf.DUMMYFUNCTION("IFERROR(IF(SUMPRODUCT(('Σύνοψη'!$F$2:$F289=$A178)*('Σύνοψη'!$C$2:$C289=E$3)*('Σύνοψη'!$G$2:$G289=$B178))&gt;0,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'Σύνοψη'!$C$2:$C289=E$3)), IF(SUMPRODUCT(('Σύνοψη'!$F$2:$F289=$A178)*('Σύνοψη'!$C$2:$C289=E$3)*('Σύνοψη'!$G$2:$G289&lt;$B178)*('Σύνοψη'!$H$2:$H289&gt;$B178))&gt;0, CHAR(34), """") ), """")"),"""")</f>
        <v>"</v>
      </c>
      <c r="F178" s="67" t="str">
        <f ca="1">IFERROR(__xludf.DUMMYFUNCTION("IFERROR(IF(SUMPRODUCT(('Σύνοψη'!$F$2:$F289=$A178)*('Σύνοψη'!$C$2:$C289=F$3)*('Σύνοψη'!$G$2:$G289=$B178))&gt;0,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'Σύνοψη'!$C$2:$C289=F$3)), IF(SUMPRODUCT(('Σύνοψη'!$F$2:$F289=$A178)*('Σύνοψη'!$C$2:$C289=F$3)*('Σύνοψη'!$G$2:$G289&lt;$B178)*('Σύνοψη'!$H$2:$H289&gt;$B178))&gt;0, CHAR(34), """") ), """")"),"""")</f>
        <v>"</v>
      </c>
      <c r="G178" s="67" t="str">
        <f ca="1">IFERROR(__xludf.DUMMYFUNCTION("IFERROR(IF(SUMPRODUCT(('Σύνοψη'!$F$2:$F289=$A178)*('Σύνοψη'!$C$2:$C289=G$3)*('Σύνοψη'!$G$2:$G289=$B178))&gt;0,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'Σύνοψη'!$C$2:$C289=G$3)), IF(SUMPRODUCT(('Σύνοψη'!$F$2:$F289=$A178)*('Σύνοψη'!$C$2:$C289=G$3)*('Σύνοψη'!$G$2:$G289&lt;$B178)*('Σύνοψη'!$H$2:$H289&gt;$B178))&gt;0, CHAR(34), """") ), """")"),"""")</f>
        <v>"</v>
      </c>
      <c r="H178" s="67" t="str">
        <f ca="1">IFERROR(__xludf.DUMMYFUNCTION("IFERROR(IF(SUMPRODUCT(('Σύνοψη'!$F$2:$F289=$A178)*('Σύνοψη'!$C$2:$C289=H$3)*('Σύνοψη'!$G$2:$G289=$B178))&gt;0, TEXTJOIN(CHAR(10) &amp; ""-----------------------"" &amp; CHAR(10), TRUE, FILTER('Σύνοψη'!$E$2:$E289 &amp; "" - "" &amp; 'Σύνοψη'!$I$2:$I289 &amp; "" ("" &amp; 'Σύνοψη'!$J"&amp;"$2:$J289 &amp; "")"", 'Σύνοψη'!$F$2:$F289=$A178, 'Σύνοψη'!$G$2:$G289=$B178, 'Σύνοψη'!$C$2:$C289=H$3)), IF(SUMPRODUCT(('Σύνοψη'!$F$2:$F289=$A178)*('Σύνοψη'!$C$2:$C289=H$3)*('Σύνοψη'!$G$2:$G289&lt;$B178)*('Σύνοψη'!$H$2:$H289&gt;$B178))&gt;0, CHAR(34), """") ), """")"),"""")</f>
        <v>"</v>
      </c>
      <c r="I178" s="3"/>
    </row>
    <row r="179" spans="1:9" s="100" customFormat="1" x14ac:dyDescent="0.25">
      <c r="A179" s="95">
        <f t="shared" si="12"/>
        <v>46281</v>
      </c>
      <c r="B179" s="89">
        <v>0.45833333333333331</v>
      </c>
      <c r="C179" s="67" t="str">
        <f ca="1">IFERROR(__xludf.DUMMYFUNCTION("IFERROR(IF(SUMPRODUCT(('Σύνοψη'!$F$2:$F289=$A179)*('Σύνοψη'!$C$2:$C289=C$3)*('Σύνοψη'!$G$2:$G289=$B179))&gt;0,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'Σύνοψη'!$C$2:$C289=C$3)), IF(SUMPRODUCT(('Σύνοψη'!$F$2:$F289=$A179)*('Σύνοψη'!$C$2:$C289=C$3)*('Σύνοψη'!$G$2:$G289&lt;$B179)*('Σύνοψη'!$H$2:$H289&gt;$B179))&gt;0, CHAR(34), """") ), """")"),"")</f>
        <v/>
      </c>
      <c r="D179" s="67" t="str">
        <f ca="1">IFERROR(__xludf.DUMMYFUNCTION("IFERROR(IF(SUMPRODUCT(('Σύνοψη'!$F$2:$F289=$A179)*('Σύνοψη'!$C$2:$C289=D$3)*('Σύνοψη'!$G$2:$G289=$B179))&gt;0,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'Σύνοψη'!$C$2:$C289=D$3)), IF(SUMPRODUCT(('Σύνοψη'!$F$2:$F289=$A179)*('Σύνοψη'!$C$2:$C289=D$3)*('Σύνοψη'!$G$2:$G289&lt;$B179)*('Σύνοψη'!$H$2:$H289&gt;$B179))&gt;0, CHAR(34), """") ), """")"),"")</f>
        <v/>
      </c>
      <c r="E179" s="67" t="str">
        <f ca="1">IFERROR(__xludf.DUMMYFUNCTION("IFERROR(IF(SUMPRODUCT(('Σύνοψη'!$F$2:$F289=$A179)*('Σύνοψη'!$C$2:$C289=E$3)*('Σύνοψη'!$G$2:$G289=$B179))&gt;0,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'Σύνοψη'!$C$2:$C289=E$3)), IF(SUMPRODUCT(('Σύνοψη'!$F$2:$F289=$A179)*('Σύνοψη'!$C$2:$C289=E$3)*('Σύνοψη'!$G$2:$G289&lt;$B179)*('Σύνοψη'!$H$2:$H289&gt;$B179))&gt;0, CHAR(34), """") ), """")"),"""")</f>
        <v>"</v>
      </c>
      <c r="F179" s="67" t="str">
        <f ca="1">IFERROR(__xludf.DUMMYFUNCTION("IFERROR(IF(SUMPRODUCT(('Σύνοψη'!$F$2:$F289=$A179)*('Σύνοψη'!$C$2:$C289=F$3)*('Σύνοψη'!$G$2:$G289=$B179))&gt;0,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'Σύνοψη'!$C$2:$C289=F$3)), IF(SUMPRODUCT(('Σύνοψη'!$F$2:$F289=$A179)*('Σύνοψη'!$C$2:$C289=F$3)*('Σύνοψη'!$G$2:$G289&lt;$B179)*('Σύνοψη'!$H$2:$H289&gt;$B179))&gt;0, CHAR(34), """") ), """")"),"""")</f>
        <v>"</v>
      </c>
      <c r="G179" s="67" t="str">
        <f ca="1">IFERROR(__xludf.DUMMYFUNCTION("IFERROR(IF(SUMPRODUCT(('Σύνοψη'!$F$2:$F289=$A179)*('Σύνοψη'!$C$2:$C289=G$3)*('Σύνοψη'!$G$2:$G289=$B179))&gt;0,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'Σύνοψη'!$C$2:$C289=G$3)), IF(SUMPRODUCT(('Σύνοψη'!$F$2:$F289=$A179)*('Σύνοψη'!$C$2:$C289=G$3)*('Σύνοψη'!$G$2:$G289&lt;$B179)*('Σύνοψη'!$H$2:$H289&gt;$B179))&gt;0, CHAR(34), """") ), """")"),"""")</f>
        <v>"</v>
      </c>
      <c r="H179" s="67" t="str">
        <f ca="1">IFERROR(__xludf.DUMMYFUNCTION("IFERROR(IF(SUMPRODUCT(('Σύνοψη'!$F$2:$F289=$A179)*('Σύνοψη'!$C$2:$C289=H$3)*('Σύνοψη'!$G$2:$G289=$B179))&gt;0, TEXTJOIN(CHAR(10) &amp; ""-----------------------"" &amp; CHAR(10), TRUE, FILTER('Σύνοψη'!$E$2:$E289 &amp; "" - "" &amp; 'Σύνοψη'!$I$2:$I289 &amp; "" ("" &amp; 'Σύνοψη'!$J"&amp;"$2:$J289 &amp; "")"", 'Σύνοψη'!$F$2:$F289=$A179, 'Σύνοψη'!$G$2:$G289=$B179, 'Σύνοψη'!$C$2:$C289=H$3)), IF(SUMPRODUCT(('Σύνοψη'!$F$2:$F289=$A179)*('Σύνοψη'!$C$2:$C289=H$3)*('Σύνοψη'!$G$2:$G289&lt;$B179)*('Σύνοψη'!$H$2:$H289&gt;$B179))&gt;0, CHAR(34), """") ), """")"),"""")</f>
        <v>"</v>
      </c>
      <c r="I179" s="3"/>
    </row>
    <row r="180" spans="1:9" s="100" customFormat="1" ht="45" x14ac:dyDescent="0.25">
      <c r="A180" s="95">
        <f t="shared" si="12"/>
        <v>46281</v>
      </c>
      <c r="B180" s="89">
        <v>0.5</v>
      </c>
      <c r="C180" s="67" t="str">
        <f ca="1">IFERROR(__xludf.DUMMYFUNCTION("IFERROR(IF(SUMPRODUCT(('Σύνοψη'!$F$2:$F289=$A180)*('Σύνοψη'!$C$2:$C289=C$3)*('Σύνοψη'!$G$2:$G289=$B180))&gt;0,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'Σύνοψη'!$C$2:$C289=C$3)), IF(SUMPRODUCT(('Σύνοψη'!$F$2:$F289=$A180)*('Σύνοψη'!$C$2:$C289=C$3)*('Σύνοψη'!$G$2:$G289&lt;$B180)*('Σύνοψη'!$H$2:$H289&gt;$B180))&gt;0, CHAR(34), """") ), """")"),"Μικροσκοπική Ανατομική Ι (Πρακτικά) - 12:00 - 14:00 (Αμφιθέατρα)")</f>
        <v>Μικροσκοπική Ανατομική Ι (Πρακτικά) - 12:00 - 14:00 (Αμφιθέατρα)</v>
      </c>
      <c r="D180" s="67" t="str">
        <f ca="1">IFERROR(__xludf.DUMMYFUNCTION("IFERROR(IF(SUMPRODUCT(('Σύνοψη'!$F$2:$F289=$A180)*('Σύνοψη'!$C$2:$C289=D$3)*('Σύνοψη'!$G$2:$G289=$B180))&gt;0,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'Σύνοψη'!$C$2:$C289=D$3)), IF(SUMPRODUCT(('Σύνοψη'!$F$2:$F289=$A180)*('Σύνοψη'!$C$2:$C289=D$3)*('Σύνοψη'!$G$2:$G289&lt;$B180)*('Σύνοψη'!$H$2:$H289&gt;$B180))&gt;0, CHAR(34), """") ), """")"),"Μοριακή Μικροβιολογία &amp; Παρασιτολογία - 12:00 - 15:00 (Νέες Αίθουσες)")</f>
        <v>Μοριακή Μικροβιολογία &amp; Παρασιτολογία - 12:00 - 15:00 (Νέες Αίθουσες)</v>
      </c>
      <c r="E180" s="67" t="str">
        <f ca="1">IFERROR(__xludf.DUMMYFUNCTION("IFERROR(IF(SUMPRODUCT(('Σύνοψη'!$F$2:$F289=$A180)*('Σύνοψη'!$C$2:$C289=E$3)*('Σύνοψη'!$G$2:$G289=$B180))&gt;0,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'Σύνοψη'!$C$2:$C289=E$3)), IF(SUMPRODUCT(('Σύνοψη'!$F$2:$F289=$A180)*('Σύνοψη'!$C$2:$C289=E$3)*('Σύνοψη'!$G$2:$G289&lt;$B180)*('Σύνοψη'!$H$2:$H289&gt;$B180))&gt;0, CHAR(34), """") ), """")"),"")</f>
        <v/>
      </c>
      <c r="F180" s="67" t="str">
        <f ca="1">IFERROR(__xludf.DUMMYFUNCTION("IFERROR(IF(SUMPRODUCT(('Σύνοψη'!$F$2:$F289=$A180)*('Σύνοψη'!$C$2:$C289=F$3)*('Σύνοψη'!$G$2:$G289=$B180))&gt;0,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'Σύνοψη'!$C$2:$C289=F$3)), IF(SUMPRODUCT(('Σύνοψη'!$F$2:$F289=$A180)*('Σύνοψη'!$C$2:$C289=F$3)*('Σύνοψη'!$G$2:$G289&lt;$B180)*('Σύνοψη'!$H$2:$H289&gt;$B180))&gt;0, CHAR(34), """") ), """")"),"")</f>
        <v/>
      </c>
      <c r="G180" s="67" t="str">
        <f ca="1">IFERROR(__xludf.DUMMYFUNCTION("IFERROR(IF(SUMPRODUCT(('Σύνοψη'!$F$2:$F289=$A180)*('Σύνοψη'!$C$2:$C289=G$3)*('Σύνοψη'!$G$2:$G289=$B180))&gt;0,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'Σύνοψη'!$C$2:$C289=G$3)), IF(SUMPRODUCT(('Σύνοψη'!$F$2:$F289=$A180)*('Σύνοψη'!$C$2:$C289=G$3)*('Σύνοψη'!$G$2:$G289&lt;$B180)*('Σύνοψη'!$H$2:$H289&gt;$B180))&gt;0, CHAR(34), """") ), """")"),"")</f>
        <v/>
      </c>
      <c r="H180" s="67" t="str">
        <f ca="1">IFERROR(__xludf.DUMMYFUNCTION("IFERROR(IF(SUMPRODUCT(('Σύνοψη'!$F$2:$F289=$A180)*('Σύνοψη'!$C$2:$C289=H$3)*('Σύνοψη'!$G$2:$G289=$B180))&gt;0, TEXTJOIN(CHAR(10) &amp; ""-----------------------"" &amp; CHAR(10), TRUE, FILTER('Σύνοψη'!$E$2:$E289 &amp; "" - "" &amp; 'Σύνοψη'!$I$2:$I289 &amp; "" ("" &amp; 'Σύνοψη'!$J"&amp;"$2:$J289 &amp; "")"", 'Σύνοψη'!$F$2:$F289=$A180, 'Σύνοψη'!$G$2:$G289=$B180, 'Σύνοψη'!$C$2:$C289=H$3)), IF(SUMPRODUCT(('Σύνοψη'!$F$2:$F289=$A180)*('Σύνοψη'!$C$2:$C289=H$3)*('Σύνοψη'!$G$2:$G289&lt;$B180)*('Σύνοψη'!$H$2:$H289&gt;$B180))&gt;0, CHAR(34), """") ), """")"),"Μικροσκοπική Ανατομική Ι (ΠΠΣ) (Πρακτικά) - 12:00 - 14:00 (Αμφιθέατρα)")</f>
        <v>Μικροσκοπική Ανατομική Ι (ΠΠΣ) (Πρακτικά) - 12:00 - 14:00 (Αμφιθέατρα)</v>
      </c>
      <c r="I180" s="3"/>
    </row>
    <row r="181" spans="1:9" s="100" customFormat="1" x14ac:dyDescent="0.25">
      <c r="A181" s="95">
        <f t="shared" si="12"/>
        <v>46281</v>
      </c>
      <c r="B181" s="89">
        <v>0.54166666666666663</v>
      </c>
      <c r="C181" s="67" t="str">
        <f ca="1">IFERROR(__xludf.DUMMYFUNCTION("IFERROR(IF(SUMPRODUCT(('Σύνοψη'!$F$2:$F289=$A181)*('Σύνοψη'!$C$2:$C289=C$3)*('Σύνοψη'!$G$2:$G289=$B181))&gt;0,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'Σύνοψη'!$C$2:$C289=C$3)), IF(SUMPRODUCT(('Σύνοψη'!$F$2:$F289=$A181)*('Σύνοψη'!$C$2:$C289=C$3)*('Σύνοψη'!$G$2:$G289&lt;$B181)*('Σύνοψη'!$H$2:$H289&gt;$B181))&gt;0, CHAR(34), """") ), """")"),"""")</f>
        <v>"</v>
      </c>
      <c r="D181" s="67" t="str">
        <f ca="1">IFERROR(__xludf.DUMMYFUNCTION("IFERROR(IF(SUMPRODUCT(('Σύνοψη'!$F$2:$F289=$A181)*('Σύνοψη'!$C$2:$C289=D$3)*('Σύνοψη'!$G$2:$G289=$B181))&gt;0,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'Σύνοψη'!$C$2:$C289=D$3)), IF(SUMPRODUCT(('Σύνοψη'!$F$2:$F289=$A181)*('Σύνοψη'!$C$2:$C289=D$3)*('Σύνοψη'!$G$2:$G289&lt;$B181)*('Σύνοψη'!$H$2:$H289&gt;$B181))&gt;0, CHAR(34), """") ), """")"),"""")</f>
        <v>"</v>
      </c>
      <c r="E181" s="67" t="str">
        <f ca="1">IFERROR(__xludf.DUMMYFUNCTION("IFERROR(IF(SUMPRODUCT(('Σύνοψη'!$F$2:$F289=$A181)*('Σύνοψη'!$C$2:$C289=E$3)*('Σύνοψη'!$G$2:$G289=$B181))&gt;0,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'Σύνοψη'!$C$2:$C289=E$3)), IF(SUMPRODUCT(('Σύνοψη'!$F$2:$F289=$A181)*('Σύνοψη'!$C$2:$C289=E$3)*('Σύνοψη'!$G$2:$G289&lt;$B181)*('Σύνοψη'!$H$2:$H289&gt;$B181))&gt;0, CHAR(34), """") ), """")"),"")</f>
        <v/>
      </c>
      <c r="F181" s="67" t="str">
        <f ca="1">IFERROR(__xludf.DUMMYFUNCTION("IFERROR(IF(SUMPRODUCT(('Σύνοψη'!$F$2:$F289=$A181)*('Σύνοψη'!$C$2:$C289=F$3)*('Σύνοψη'!$G$2:$G289=$B181))&gt;0,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'Σύνοψη'!$C$2:$C289=F$3)), IF(SUMPRODUCT(('Σύνοψη'!$F$2:$F289=$A181)*('Σύνοψη'!$C$2:$C289=F$3)*('Σύνοψη'!$G$2:$G289&lt;$B181)*('Σύνοψη'!$H$2:$H289&gt;$B181))&gt;0, CHAR(34), """") ), """")"),"")</f>
        <v/>
      </c>
      <c r="G181" s="67" t="str">
        <f ca="1">IFERROR(__xludf.DUMMYFUNCTION("IFERROR(IF(SUMPRODUCT(('Σύνοψη'!$F$2:$F289=$A181)*('Σύνοψη'!$C$2:$C289=G$3)*('Σύνοψη'!$G$2:$G289=$B181))&gt;0,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'Σύνοψη'!$C$2:$C289=G$3)), IF(SUMPRODUCT(('Σύνοψη'!$F$2:$F289=$A181)*('Σύνοψη'!$C$2:$C289=G$3)*('Σύνοψη'!$G$2:$G289&lt;$B181)*('Σύνοψη'!$H$2:$H289&gt;$B181))&gt;0, CHAR(34), """") ), """")"),"")</f>
        <v/>
      </c>
      <c r="H181" s="67" t="str">
        <f ca="1">IFERROR(__xludf.DUMMYFUNCTION("IFERROR(IF(SUMPRODUCT(('Σύνοψη'!$F$2:$F289=$A181)*('Σύνοψη'!$C$2:$C289=H$3)*('Σύνοψη'!$G$2:$G289=$B181))&gt;0, TEXTJOIN(CHAR(10) &amp; ""-----------------------"" &amp; CHAR(10), TRUE, FILTER('Σύνοψη'!$E$2:$E289 &amp; "" - "" &amp; 'Σύνοψη'!$I$2:$I289 &amp; "" ("" &amp; 'Σύνοψη'!$J"&amp;"$2:$J289 &amp; "")"", 'Σύνοψη'!$F$2:$F289=$A181, 'Σύνοψη'!$G$2:$G289=$B181, 'Σύνοψη'!$C$2:$C289=H$3)), IF(SUMPRODUCT(('Σύνοψη'!$F$2:$F289=$A181)*('Σύνοψη'!$C$2:$C289=H$3)*('Σύνοψη'!$G$2:$G289&lt;$B181)*('Σύνοψη'!$H$2:$H289&gt;$B181))&gt;0, CHAR(34), """") ), """")"),"""")</f>
        <v>"</v>
      </c>
      <c r="I181" s="3"/>
    </row>
    <row r="182" spans="1:9" s="100" customFormat="1" x14ac:dyDescent="0.25">
      <c r="A182" s="95">
        <f t="shared" si="12"/>
        <v>46281</v>
      </c>
      <c r="B182" s="89">
        <v>0.58333333333333337</v>
      </c>
      <c r="C182" s="67" t="str">
        <f ca="1">IFERROR(__xludf.DUMMYFUNCTION("IFERROR(IF(SUMPRODUCT(('Σύνοψη'!$F$2:$F289=$A182)*('Σύνοψη'!$C$2:$C289=C$3)*('Σύνοψη'!$G$2:$G289=$B182))&gt;0,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'Σύνοψη'!$C$2:$C289=C$3)), IF(SUMPRODUCT(('Σύνοψη'!$F$2:$F289=$A182)*('Σύνοψη'!$C$2:$C289=C$3)*('Σύνοψη'!$G$2:$G289&lt;$B182)*('Σύνοψη'!$H$2:$H289&gt;$B182))&gt;0, CHAR(34), """") ), """")"),"")</f>
        <v/>
      </c>
      <c r="D182" s="67" t="str">
        <f ca="1">IFERROR(__xludf.DUMMYFUNCTION("IFERROR(IF(SUMPRODUCT(('Σύνοψη'!$F$2:$F289=$A182)*('Σύνοψη'!$C$2:$C289=D$3)*('Σύνοψη'!$G$2:$G289=$B182))&gt;0,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'Σύνοψη'!$C$2:$C289=D$3)), IF(SUMPRODUCT(('Σύνοψη'!$F$2:$F289=$A182)*('Σύνοψη'!$C$2:$C289=D$3)*('Σύνοψη'!$G$2:$G289&lt;$B182)*('Σύνοψη'!$H$2:$H289&gt;$B182))&gt;0, CHAR(34), """") ), """")"),"""")</f>
        <v>"</v>
      </c>
      <c r="E182" s="67" t="str">
        <f ca="1">IFERROR(__xludf.DUMMYFUNCTION("IFERROR(IF(SUMPRODUCT(('Σύνοψη'!$F$2:$F289=$A182)*('Σύνοψη'!$C$2:$C289=E$3)*('Σύνοψη'!$G$2:$G289=$B182))&gt;0,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'Σύνοψη'!$C$2:$C289=E$3)), IF(SUMPRODUCT(('Σύνοψη'!$F$2:$F289=$A182)*('Σύνοψη'!$C$2:$C289=E$3)*('Σύνοψη'!$G$2:$G289&lt;$B182)*('Σύνοψη'!$H$2:$H289&gt;$B182))&gt;0, CHAR(34), """") ), """")"),"")</f>
        <v/>
      </c>
      <c r="F182" s="67" t="str">
        <f ca="1">IFERROR(__xludf.DUMMYFUNCTION("IFERROR(IF(SUMPRODUCT(('Σύνοψη'!$F$2:$F289=$A182)*('Σύνοψη'!$C$2:$C289=F$3)*('Σύνοψη'!$G$2:$G289=$B182))&gt;0,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'Σύνοψη'!$C$2:$C289=F$3)), IF(SUMPRODUCT(('Σύνοψη'!$F$2:$F289=$A182)*('Σύνοψη'!$C$2:$C289=F$3)*('Σύνοψη'!$G$2:$G289&lt;$B182)*('Σύνοψη'!$H$2:$H289&gt;$B182))&gt;0, CHAR(34), """") ), """")"),"")</f>
        <v/>
      </c>
      <c r="G182" s="67" t="str">
        <f ca="1">IFERROR(__xludf.DUMMYFUNCTION("IFERROR(IF(SUMPRODUCT(('Σύνοψη'!$F$2:$F289=$A182)*('Σύνοψη'!$C$2:$C289=G$3)*('Σύνοψη'!$G$2:$G289=$B182))&gt;0,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'Σύνοψη'!$C$2:$C289=G$3)), IF(SUMPRODUCT(('Σύνοψη'!$F$2:$F289=$A182)*('Σύνοψη'!$C$2:$C289=G$3)*('Σύνοψη'!$G$2:$G289&lt;$B182)*('Σύνοψη'!$H$2:$H289&gt;$B182))&gt;0, CHAR(34), """") ), """")"),"")</f>
        <v/>
      </c>
      <c r="H182" s="67" t="str">
        <f ca="1">IFERROR(__xludf.DUMMYFUNCTION("IFERROR(IF(SUMPRODUCT(('Σύνοψη'!$F$2:$F289=$A182)*('Σύνοψη'!$C$2:$C289=H$3)*('Σύνοψη'!$G$2:$G289=$B182))&gt;0, TEXTJOIN(CHAR(10) &amp; ""-----------------------"" &amp; CHAR(10), TRUE, FILTER('Σύνοψη'!$E$2:$E289 &amp; "" - "" &amp; 'Σύνοψη'!$I$2:$I289 &amp; "" ("" &amp; 'Σύνοψη'!$J"&amp;"$2:$J289 &amp; "")"", 'Σύνοψη'!$F$2:$F289=$A182, 'Σύνοψη'!$G$2:$G289=$B182, 'Σύνοψη'!$C$2:$C289=H$3)), IF(SUMPRODUCT(('Σύνοψη'!$F$2:$F289=$A182)*('Σύνοψη'!$C$2:$C289=H$3)*('Σύνοψη'!$G$2:$G289&lt;$B182)*('Σύνοψη'!$H$2:$H289&gt;$B182))&gt;0, CHAR(34), """") ), """")"),"")</f>
        <v/>
      </c>
      <c r="I182" s="3"/>
    </row>
    <row r="183" spans="1:9" s="100" customFormat="1" x14ac:dyDescent="0.25">
      <c r="A183" s="95">
        <f t="shared" si="12"/>
        <v>46281</v>
      </c>
      <c r="B183" s="89">
        <v>0.625</v>
      </c>
      <c r="C183" s="67" t="str">
        <f ca="1">IFERROR(__xludf.DUMMYFUNCTION("IFERROR(IF(SUMPRODUCT(('Σύνοψη'!$F$2:$F289=$A183)*('Σύνοψη'!$C$2:$C289=C$3)*('Σύνοψη'!$G$2:$G289=$B183))&gt;0,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'Σύνοψη'!$C$2:$C289=C$3)), IF(SUMPRODUCT(('Σύνοψη'!$F$2:$F289=$A183)*('Σύνοψη'!$C$2:$C289=C$3)*('Σύνοψη'!$G$2:$G289&lt;$B183)*('Σύνοψη'!$H$2:$H289&gt;$B183))&gt;0, CHAR(34), """") ), """")"),"")</f>
        <v/>
      </c>
      <c r="D183" s="67" t="str">
        <f ca="1">IFERROR(__xludf.DUMMYFUNCTION("IFERROR(IF(SUMPRODUCT(('Σύνοψη'!$F$2:$F289=$A183)*('Σύνοψη'!$C$2:$C289=D$3)*('Σύνοψη'!$G$2:$G289=$B183))&gt;0,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'Σύνοψη'!$C$2:$C289=D$3)), IF(SUMPRODUCT(('Σύνοψη'!$F$2:$F289=$A183)*('Σύνοψη'!$C$2:$C289=D$3)*('Σύνοψη'!$G$2:$G289&lt;$B183)*('Σύνοψη'!$H$2:$H289&gt;$B183))&gt;0, CHAR(34), """") ), """")"),"")</f>
        <v/>
      </c>
      <c r="E183" s="67" t="str">
        <f ca="1">IFERROR(__xludf.DUMMYFUNCTION("IFERROR(IF(SUMPRODUCT(('Σύνοψη'!$F$2:$F289=$A183)*('Σύνοψη'!$C$2:$C289=E$3)*('Σύνοψη'!$G$2:$G289=$B183))&gt;0,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'Σύνοψη'!$C$2:$C289=E$3)), IF(SUMPRODUCT(('Σύνοψη'!$F$2:$F289=$A183)*('Σύνοψη'!$C$2:$C289=E$3)*('Σύνοψη'!$G$2:$G289&lt;$B183)*('Σύνοψη'!$H$2:$H289&gt;$B183))&gt;0, CHAR(34), """") ), """")"),"")</f>
        <v/>
      </c>
      <c r="F183" s="67" t="str">
        <f ca="1">IFERROR(__xludf.DUMMYFUNCTION("IFERROR(IF(SUMPRODUCT(('Σύνοψη'!$F$2:$F289=$A183)*('Σύνοψη'!$C$2:$C289=F$3)*('Σύνοψη'!$G$2:$G289=$B183))&gt;0,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'Σύνοψη'!$C$2:$C289=F$3)), IF(SUMPRODUCT(('Σύνοψη'!$F$2:$F289=$A183)*('Σύνοψη'!$C$2:$C289=F$3)*('Σύνοψη'!$G$2:$G289&lt;$B183)*('Σύνοψη'!$H$2:$H289&gt;$B183))&gt;0, CHAR(34), """") ), """")"),"")</f>
        <v/>
      </c>
      <c r="G183" s="67" t="str">
        <f ca="1">IFERROR(__xludf.DUMMYFUNCTION("IFERROR(IF(SUMPRODUCT(('Σύνοψη'!$F$2:$F289=$A183)*('Σύνοψη'!$C$2:$C289=G$3)*('Σύνοψη'!$G$2:$G289=$B183))&gt;0,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'Σύνοψη'!$C$2:$C289=G$3)), IF(SUMPRODUCT(('Σύνοψη'!$F$2:$F289=$A183)*('Σύνοψη'!$C$2:$C289=G$3)*('Σύνοψη'!$G$2:$G289&lt;$B183)*('Σύνοψη'!$H$2:$H289&gt;$B183))&gt;0, CHAR(34), """") ), """")"),"")</f>
        <v/>
      </c>
      <c r="H183" s="67" t="str">
        <f ca="1">IFERROR(__xludf.DUMMYFUNCTION("IFERROR(IF(SUMPRODUCT(('Σύνοψη'!$F$2:$F289=$A183)*('Σύνοψη'!$C$2:$C289=H$3)*('Σύνοψη'!$G$2:$G289=$B183))&gt;0, TEXTJOIN(CHAR(10) &amp; ""-----------------------"" &amp; CHAR(10), TRUE, FILTER('Σύνοψη'!$E$2:$E289 &amp; "" - "" &amp; 'Σύνοψη'!$I$2:$I289 &amp; "" ("" &amp; 'Σύνοψη'!$J"&amp;"$2:$J289 &amp; "")"", 'Σύνοψη'!$F$2:$F289=$A183, 'Σύνοψη'!$G$2:$G289=$B183, 'Σύνοψη'!$C$2:$C289=H$3)), IF(SUMPRODUCT(('Σύνοψη'!$F$2:$F289=$A183)*('Σύνοψη'!$C$2:$C289=H$3)*('Σύνοψη'!$G$2:$G289&lt;$B183)*('Σύνοψη'!$H$2:$H289&gt;$B183))&gt;0, CHAR(34), """") ), """")"),"")</f>
        <v/>
      </c>
      <c r="I183" s="3"/>
    </row>
    <row r="184" spans="1:9" s="100" customFormat="1" x14ac:dyDescent="0.25">
      <c r="A184" s="95">
        <f t="shared" si="12"/>
        <v>46281</v>
      </c>
      <c r="B184" s="89">
        <v>0.66666666666666663</v>
      </c>
      <c r="C184" s="67" t="str">
        <f ca="1">IFERROR(__xludf.DUMMYFUNCTION("IFERROR(IF(SUMPRODUCT(('Σύνοψη'!$F$2:$F289=$A184)*('Σύνοψη'!$C$2:$C289=C$3)*('Σύνοψη'!$G$2:$G289=$B184))&gt;0,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'Σύνοψη'!$C$2:$C289=C$3)), IF(SUMPRODUCT(('Σύνοψη'!$F$2:$F289=$A184)*('Σύνοψη'!$C$2:$C289=C$3)*('Σύνοψη'!$G$2:$G289&lt;$B184)*('Σύνοψη'!$H$2:$H289&gt;$B184))&gt;0, CHAR(34), """") ), """")"),"")</f>
        <v/>
      </c>
      <c r="D184" s="67" t="str">
        <f ca="1">IFERROR(__xludf.DUMMYFUNCTION("IFERROR(IF(SUMPRODUCT(('Σύνοψη'!$F$2:$F289=$A184)*('Σύνοψη'!$C$2:$C289=D$3)*('Σύνοψη'!$G$2:$G289=$B184))&gt;0,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'Σύνοψη'!$C$2:$C289=D$3)), IF(SUMPRODUCT(('Σύνοψη'!$F$2:$F289=$A184)*('Σύνοψη'!$C$2:$C289=D$3)*('Σύνοψη'!$G$2:$G289&lt;$B184)*('Σύνοψη'!$H$2:$H289&gt;$B184))&gt;0, CHAR(34), """") ), """")"),"")</f>
        <v/>
      </c>
      <c r="E184" s="67" t="str">
        <f ca="1">IFERROR(__xludf.DUMMYFUNCTION("IFERROR(IF(SUMPRODUCT(('Σύνοψη'!$F$2:$F289=$A184)*('Σύνοψη'!$C$2:$C289=E$3)*('Σύνοψη'!$G$2:$G289=$B184))&gt;0,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'Σύνοψη'!$C$2:$C289=E$3)), IF(SUMPRODUCT(('Σύνοψη'!$F$2:$F289=$A184)*('Σύνοψη'!$C$2:$C289=E$3)*('Σύνοψη'!$G$2:$G289&lt;$B184)*('Σύνοψη'!$H$2:$H289&gt;$B184))&gt;0, CHAR(34), """") ), """")"),"")</f>
        <v/>
      </c>
      <c r="F184" s="67" t="str">
        <f ca="1">IFERROR(__xludf.DUMMYFUNCTION("IFERROR(IF(SUMPRODUCT(('Σύνοψη'!$F$2:$F289=$A184)*('Σύνοψη'!$C$2:$C289=F$3)*('Σύνοψη'!$G$2:$G289=$B184))&gt;0,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'Σύνοψη'!$C$2:$C289=F$3)), IF(SUMPRODUCT(('Σύνοψη'!$F$2:$F289=$A184)*('Σύνοψη'!$C$2:$C289=F$3)*('Σύνοψη'!$G$2:$G289&lt;$B184)*('Σύνοψη'!$H$2:$H289&gt;$B184))&gt;0, CHAR(34), """") ), """")"),"")</f>
        <v/>
      </c>
      <c r="G184" s="67" t="str">
        <f ca="1">IFERROR(__xludf.DUMMYFUNCTION("IFERROR(IF(SUMPRODUCT(('Σύνοψη'!$F$2:$F289=$A184)*('Σύνοψη'!$C$2:$C289=G$3)*('Σύνοψη'!$G$2:$G289=$B184))&gt;0,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'Σύνοψη'!$C$2:$C289=G$3)), IF(SUMPRODUCT(('Σύνοψη'!$F$2:$F289=$A184)*('Σύνοψη'!$C$2:$C289=G$3)*('Σύνοψη'!$G$2:$G289&lt;$B184)*('Σύνοψη'!$H$2:$H289&gt;$B184))&gt;0, CHAR(34), """") ), """")"),"")</f>
        <v/>
      </c>
      <c r="H184" s="67" t="str">
        <f ca="1">IFERROR(__xludf.DUMMYFUNCTION("IFERROR(IF(SUMPRODUCT(('Σύνοψη'!$F$2:$F289=$A184)*('Σύνοψη'!$C$2:$C289=H$3)*('Σύνοψη'!$G$2:$G289=$B184))&gt;0, TEXTJOIN(CHAR(10) &amp; ""-----------------------"" &amp; CHAR(10), TRUE, FILTER('Σύνοψη'!$E$2:$E289 &amp; "" - "" &amp; 'Σύνοψη'!$I$2:$I289 &amp; "" ("" &amp; 'Σύνοψη'!$J"&amp;"$2:$J289 &amp; "")"", 'Σύνοψη'!$F$2:$F289=$A184, 'Σύνοψη'!$G$2:$G289=$B184, 'Σύνοψη'!$C$2:$C289=H$3)), IF(SUMPRODUCT(('Σύνοψη'!$F$2:$F289=$A184)*('Σύνοψη'!$C$2:$C289=H$3)*('Σύνοψη'!$G$2:$G289&lt;$B184)*('Σύνοψη'!$H$2:$H289&gt;$B184))&gt;0, CHAR(34), """") ), """")"),"")</f>
        <v/>
      </c>
      <c r="I184" s="3"/>
    </row>
    <row r="185" spans="1:9" s="100" customFormat="1" x14ac:dyDescent="0.25">
      <c r="A185" s="95">
        <f t="shared" si="12"/>
        <v>46281</v>
      </c>
      <c r="B185" s="89">
        <v>0.70833333333333337</v>
      </c>
      <c r="C185" s="67" t="str">
        <f ca="1">IFERROR(__xludf.DUMMYFUNCTION("IFERROR(IF(SUMPRODUCT(('Σύνοψη'!$F$2:$F289=$A185)*('Σύνοψη'!$C$2:$C289=C$3)*('Σύνοψη'!$G$2:$G289=$B185))&gt;0,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'Σύνοψη'!$C$2:$C289=C$3)), IF(SUMPRODUCT(('Σύνοψη'!$F$2:$F289=$A185)*('Σύνοψη'!$C$2:$C289=C$3)*('Σύνοψη'!$G$2:$G289&lt;$B185)*('Σύνοψη'!$H$2:$H289&gt;$B185))&gt;0, CHAR(34), """") ), """")"),"")</f>
        <v/>
      </c>
      <c r="D185" s="67" t="str">
        <f ca="1">IFERROR(__xludf.DUMMYFUNCTION("IFERROR(IF(SUMPRODUCT(('Σύνοψη'!$F$2:$F289=$A185)*('Σύνοψη'!$C$2:$C289=D$3)*('Σύνοψη'!$G$2:$G289=$B185))&gt;0,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'Σύνοψη'!$C$2:$C289=D$3)), IF(SUMPRODUCT(('Σύνοψη'!$F$2:$F289=$A185)*('Σύνοψη'!$C$2:$C289=D$3)*('Σύνοψη'!$G$2:$G289&lt;$B185)*('Σύνοψη'!$H$2:$H289&gt;$B185))&gt;0, CHAR(34), """") ), """")"),"")</f>
        <v/>
      </c>
      <c r="E185" s="67" t="str">
        <f ca="1">IFERROR(__xludf.DUMMYFUNCTION("IFERROR(IF(SUMPRODUCT(('Σύνοψη'!$F$2:$F289=$A185)*('Σύνοψη'!$C$2:$C289=E$3)*('Σύνοψη'!$G$2:$G289=$B185))&gt;0,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'Σύνοψη'!$C$2:$C289=E$3)), IF(SUMPRODUCT(('Σύνοψη'!$F$2:$F289=$A185)*('Σύνοψη'!$C$2:$C289=E$3)*('Σύνοψη'!$G$2:$G289&lt;$B185)*('Σύνοψη'!$H$2:$H289&gt;$B185))&gt;0, CHAR(34), """") ), """")"),"")</f>
        <v/>
      </c>
      <c r="F185" s="67" t="str">
        <f ca="1">IFERROR(__xludf.DUMMYFUNCTION("IFERROR(IF(SUMPRODUCT(('Σύνοψη'!$F$2:$F289=$A185)*('Σύνοψη'!$C$2:$C289=F$3)*('Σύνοψη'!$G$2:$G289=$B185))&gt;0,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'Σύνοψη'!$C$2:$C289=F$3)), IF(SUMPRODUCT(('Σύνοψη'!$F$2:$F289=$A185)*('Σύνοψη'!$C$2:$C289=F$3)*('Σύνοψη'!$G$2:$G289&lt;$B185)*('Σύνοψη'!$H$2:$H289&gt;$B185))&gt;0, CHAR(34), """") ), """")"),"")</f>
        <v/>
      </c>
      <c r="G185" s="67" t="str">
        <f ca="1">IFERROR(__xludf.DUMMYFUNCTION("IFERROR(IF(SUMPRODUCT(('Σύνοψη'!$F$2:$F289=$A185)*('Σύνοψη'!$C$2:$C289=G$3)*('Σύνοψη'!$G$2:$G289=$B185))&gt;0,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'Σύνοψη'!$C$2:$C289=G$3)), IF(SUMPRODUCT(('Σύνοψη'!$F$2:$F289=$A185)*('Σύνοψη'!$C$2:$C289=G$3)*('Σύνοψη'!$G$2:$G289&lt;$B185)*('Σύνοψη'!$H$2:$H289&gt;$B185))&gt;0, CHAR(34), """") ), """")"),"")</f>
        <v/>
      </c>
      <c r="H185" s="67" t="str">
        <f ca="1">IFERROR(__xludf.DUMMYFUNCTION("IFERROR(IF(SUMPRODUCT(('Σύνοψη'!$F$2:$F289=$A185)*('Σύνοψη'!$C$2:$C289=H$3)*('Σύνοψη'!$G$2:$G289=$B185))&gt;0, TEXTJOIN(CHAR(10) &amp; ""-----------------------"" &amp; CHAR(10), TRUE, FILTER('Σύνοψη'!$E$2:$E289 &amp; "" - "" &amp; 'Σύνοψη'!$I$2:$I289 &amp; "" ("" &amp; 'Σύνοψη'!$J"&amp;"$2:$J289 &amp; "")"", 'Σύνοψη'!$F$2:$F289=$A185, 'Σύνοψη'!$G$2:$G289=$B185, 'Σύνοψη'!$C$2:$C289=H$3)), IF(SUMPRODUCT(('Σύνοψη'!$F$2:$F289=$A185)*('Σύνοψη'!$C$2:$C289=H$3)*('Σύνοψη'!$G$2:$G289&lt;$B185)*('Σύνοψη'!$H$2:$H289&gt;$B185))&gt;0, CHAR(34), """") ), """")"),"")</f>
        <v/>
      </c>
      <c r="I185" s="3"/>
    </row>
    <row r="186" spans="1:9" s="100" customFormat="1" ht="195" x14ac:dyDescent="0.25">
      <c r="A186" s="95">
        <f t="shared" si="12"/>
        <v>46281</v>
      </c>
      <c r="B186" s="89">
        <v>0.75</v>
      </c>
      <c r="C186" s="67" t="str">
        <f ca="1">IFERROR(__xludf.DUMMYFUNCTION("IFERROR(IF(SUMPRODUCT(('Σύνοψη'!$F$2:$F289=$A186)*('Σύνοψη'!$C$2:$C289=C$3)*('Σύνοψη'!$G$2:$G289=$B186))&gt;0,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'Σύνοψη'!$C$2:$C289=C$3)), IF(SUMPRODUCT(('Σύνοψη'!$F$2:$F289=$A186)*('Σύνοψη'!$C$2:$C289=C$3)*('Σύνοψη'!$G$2:$G289&lt;$B186)*('Σύνοψη'!$H$2:$H289&gt;$B186))&gt;0, CHAR(34), """") ), """")"),"")</f>
        <v/>
      </c>
      <c r="D186" s="67" t="str">
        <f ca="1">IFERROR(__xludf.DUMMYFUNCTION("IFERROR(IF(SUMPRODUCT(('Σύνοψη'!$F$2:$F289=$A186)*('Σύνοψη'!$C$2:$C289=D$3)*('Σύνοψη'!$G$2:$G289=$B186))&gt;0,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'Σύνοψη'!$C$2:$C289=D$3)), IF(SUMPRODUCT(('Σύνοψη'!$F$2:$F289=$A186)*('Σύνοψη'!$C$2:$C289=D$3)*('Σύνοψη'!$G$2:$G289&lt;$B186)*('Σύνοψη'!$H$2:$H289&gt;$B186))&gt;0, CHAR(34), """") ), """")"),"")</f>
        <v/>
      </c>
      <c r="E186" s="67" t="str">
        <f ca="1">IFERROR(__xludf.DUMMYFUNCTION("IFERROR(IF(SUMPRODUCT(('Σύνοψη'!$F$2:$F289=$A186)*('Σύνοψη'!$C$2:$C289=E$3)*('Σύνοψη'!$G$2:$G289=$B186))&gt;0,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'Σύνοψη'!$C$2:$C289=E$3)), IF(SUMPRODUCT(('Σύνοψη'!$F$2:$F289=$A186)*('Σύνοψη'!$C$2:$C289=E$3)*('Σύνοψη'!$G$2:$G289&lt;$B186)*('Σύνοψη'!$H$2:$H289&gt;$B186))&gt;0, CHAR(34), """") ), """")"),"")</f>
        <v/>
      </c>
      <c r="F186" s="67" t="str">
        <f ca="1">IFERROR(__xludf.DUMMYFUNCTION("IFERROR(IF(SUMPRODUCT(('Σύνοψη'!$F$2:$F289=$A186)*('Σύνοψη'!$C$2:$C289=F$3)*('Σύνοψη'!$G$2:$G289=$B186))&gt;0,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'Σύνοψη'!$C$2:$C289=F$3)), IF(SUMPRODUCT(('Σύνοψη'!$F$2:$F289=$A186)*('Σύνοψη'!$C$2:$C289=F$3)*('Σύνοψη'!$G$2:$G289&lt;$B186)*('Σύνοψη'!$H$2:$H289&gt;$B186))&gt;0, CHAR(34), """") ), """")"),"")</f>
        <v/>
      </c>
      <c r="G186" s="67" t="str">
        <f ca="1">IFERROR(__xludf.DUMMYFUNCTION("IFERROR(IF(SUMPRODUCT(('Σύνοψη'!$F$2:$F289=$A186)*('Σύνοψη'!$C$2:$C289=G$3)*('Σύνοψη'!$G$2:$G289=$B186))&gt;0,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'Σύνοψη'!$C$2:$C289=G$3)), IF(SUMPRODUCT(('Σύνοψη'!$F$2:$F289=$A186)*('Σύνοψη'!$C$2:$C289=G$3)*('Σύνοψη'!$G$2:$G289&lt;$B186)*('Σύνοψη'!$H$2:$H289&gt;$B186))&gt;0, CHAR(34), """") ), """")"),"Εξειδικευμένα Μαθήματα Παθολογίας της Γάτας - 18:00 - 21:00 (Αίθουσα έναντι Παθολογικής)
-----------------------
Εφαρμογή Καινοτόμων Ιδεών &amp; Τεχνολογιών στη Χοιροτροφία &amp; Πτηνοτροφία - 18:00 - 21:00 (Αίθουσα έναντι Παθολογικής)
-----------------------
Φυσ"&amp;"ιοθεραπεία των Ζώων Συντροφιάς - 18:00 - 21:00 (Αίθουσα έναντι Παθολογικής)")</f>
        <v>Εξειδικευμένα Μαθήματα Παθολογίας της Γάτας - 18:00 - 21:00 (Αίθουσα έναντι Παθολογικής)
-----------------------
Εφαρμογή Καινοτόμων Ιδεών &amp; Τεχνολογιών στη Χοιροτροφία &amp; Πτηνοτροφία - 18:00 - 21:00 (Αίθουσα έναντι Παθολογικής)
-----------------------
Φυσιοθεραπεία των Ζώων Συντροφιάς - 18:00 - 21:00 (Αίθουσα έναντι Παθολογικής)</v>
      </c>
      <c r="H186" s="67" t="str">
        <f ca="1">IFERROR(__xludf.DUMMYFUNCTION("IFERROR(IF(SUMPRODUCT(('Σύνοψη'!$F$2:$F289=$A186)*('Σύνοψη'!$C$2:$C289=H$3)*('Σύνοψη'!$G$2:$G289=$B186))&gt;0, TEXTJOIN(CHAR(10) &amp; ""-----------------------"" &amp; CHAR(10), TRUE, FILTER('Σύνοψη'!$E$2:$E289 &amp; "" - "" &amp; 'Σύνοψη'!$I$2:$I289 &amp; "" ("" &amp; 'Σύνοψη'!$J"&amp;"$2:$J289 &amp; "")"", 'Σύνοψη'!$F$2:$F289=$A186, 'Σύνοψη'!$G$2:$G289=$B186, 'Σύνοψη'!$C$2:$C289=H$3)), IF(SUMPRODUCT(('Σύνοψη'!$F$2:$F289=$A186)*('Σύνοψη'!$C$2:$C289=H$3)*('Σύνοψη'!$G$2:$G289&lt;$B186)*('Σύνοψη'!$H$2:$H289&gt;$B186))&gt;0, CHAR(34), """") ), """")"),"")</f>
        <v/>
      </c>
      <c r="I186" s="3"/>
    </row>
    <row r="187" spans="1:9" s="100" customFormat="1" x14ac:dyDescent="0.25">
      <c r="A187" s="95">
        <f t="shared" si="12"/>
        <v>46281</v>
      </c>
      <c r="B187" s="89">
        <v>0.79166666666666663</v>
      </c>
      <c r="C187" s="67" t="str">
        <f ca="1">IFERROR(__xludf.DUMMYFUNCTION("IFERROR(IF(SUMPRODUCT(('Σύνοψη'!$F$2:$F289=$A187)*('Σύνοψη'!$C$2:$C289=C$3)*('Σύνοψη'!$G$2:$G289=$B187))&gt;0,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'Σύνοψη'!$C$2:$C289=C$3)), IF(SUMPRODUCT(('Σύνοψη'!$F$2:$F289=$A187)*('Σύνοψη'!$C$2:$C289=C$3)*('Σύνοψη'!$G$2:$G289&lt;$B187)*('Σύνοψη'!$H$2:$H289&gt;$B187))&gt;0, CHAR(34), """") ), """")"),"")</f>
        <v/>
      </c>
      <c r="D187" s="67" t="str">
        <f ca="1">IFERROR(__xludf.DUMMYFUNCTION("IFERROR(IF(SUMPRODUCT(('Σύνοψη'!$F$2:$F289=$A187)*('Σύνοψη'!$C$2:$C289=D$3)*('Σύνοψη'!$G$2:$G289=$B187))&gt;0,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'Σύνοψη'!$C$2:$C289=D$3)), IF(SUMPRODUCT(('Σύνοψη'!$F$2:$F289=$A187)*('Σύνοψη'!$C$2:$C289=D$3)*('Σύνοψη'!$G$2:$G289&lt;$B187)*('Σύνοψη'!$H$2:$H289&gt;$B187))&gt;0, CHAR(34), """") ), """")"),"")</f>
        <v/>
      </c>
      <c r="E187" s="67" t="str">
        <f ca="1">IFERROR(__xludf.DUMMYFUNCTION("IFERROR(IF(SUMPRODUCT(('Σύνοψη'!$F$2:$F289=$A187)*('Σύνοψη'!$C$2:$C289=E$3)*('Σύνοψη'!$G$2:$G289=$B187))&gt;0,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'Σύνοψη'!$C$2:$C289=E$3)), IF(SUMPRODUCT(('Σύνοψη'!$F$2:$F289=$A187)*('Σύνοψη'!$C$2:$C289=E$3)*('Σύνοψη'!$G$2:$G289&lt;$B187)*('Σύνοψη'!$H$2:$H289&gt;$B187))&gt;0, CHAR(34), """") ), """")"),"")</f>
        <v/>
      </c>
      <c r="F187" s="67" t="str">
        <f ca="1">IFERROR(__xludf.DUMMYFUNCTION("IFERROR(IF(SUMPRODUCT(('Σύνοψη'!$F$2:$F289=$A187)*('Σύνοψη'!$C$2:$C289=F$3)*('Σύνοψη'!$G$2:$G289=$B187))&gt;0,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'Σύνοψη'!$C$2:$C289=F$3)), IF(SUMPRODUCT(('Σύνοψη'!$F$2:$F289=$A187)*('Σύνοψη'!$C$2:$C289=F$3)*('Σύνοψη'!$G$2:$G289&lt;$B187)*('Σύνοψη'!$H$2:$H289&gt;$B187))&gt;0, CHAR(34), """") ), """")"),"")</f>
        <v/>
      </c>
      <c r="G187" s="67" t="str">
        <f ca="1">IFERROR(__xludf.DUMMYFUNCTION("IFERROR(IF(SUMPRODUCT(('Σύνοψη'!$F$2:$F289=$A187)*('Σύνοψη'!$C$2:$C289=G$3)*('Σύνοψη'!$G$2:$G289=$B187))&gt;0,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'Σύνοψη'!$C$2:$C289=G$3)), IF(SUMPRODUCT(('Σύνοψη'!$F$2:$F289=$A187)*('Σύνοψη'!$C$2:$C289=G$3)*('Σύνοψη'!$G$2:$G289&lt;$B187)*('Σύνοψη'!$H$2:$H289&gt;$B187))&gt;0, CHAR(34), """") ), """")"),"""")</f>
        <v>"</v>
      </c>
      <c r="H187" s="67" t="str">
        <f ca="1">IFERROR(__xludf.DUMMYFUNCTION("IFERROR(IF(SUMPRODUCT(('Σύνοψη'!$F$2:$F289=$A187)*('Σύνοψη'!$C$2:$C289=H$3)*('Σύνοψη'!$G$2:$G289=$B187))&gt;0, TEXTJOIN(CHAR(10) &amp; ""-----------------------"" &amp; CHAR(10), TRUE, FILTER('Σύνοψη'!$E$2:$E289 &amp; "" - "" &amp; 'Σύνοψη'!$I$2:$I289 &amp; "" ("" &amp; 'Σύνοψη'!$J"&amp;"$2:$J289 &amp; "")"", 'Σύνοψη'!$F$2:$F289=$A187, 'Σύνοψη'!$G$2:$G289=$B187, 'Σύνοψη'!$C$2:$C289=H$3)), IF(SUMPRODUCT(('Σύνοψη'!$F$2:$F289=$A187)*('Σύνοψη'!$C$2:$C289=H$3)*('Σύνοψη'!$G$2:$G289&lt;$B187)*('Σύνοψη'!$H$2:$H289&gt;$B187))&gt;0, CHAR(34), """") ), """")"),"")</f>
        <v/>
      </c>
      <c r="I187" s="3"/>
    </row>
    <row r="188" spans="1:9" s="100" customFormat="1" x14ac:dyDescent="0.25">
      <c r="A188" s="95">
        <f t="shared" si="12"/>
        <v>46281</v>
      </c>
      <c r="B188" s="89">
        <v>0.83333333333333337</v>
      </c>
      <c r="C188" s="67" t="str">
        <f ca="1">IFERROR(__xludf.DUMMYFUNCTION("IFERROR(IF(SUMPRODUCT(('Σύνοψη'!$F$2:$F289=$A188)*('Σύνοψη'!$C$2:$C289=C$3)*('Σύνοψη'!$G$2:$G289=$B188))&gt;0,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'Σύνοψη'!$C$2:$C289=C$3)), IF(SUMPRODUCT(('Σύνοψη'!$F$2:$F289=$A188)*('Σύνοψη'!$C$2:$C289=C$3)*('Σύνοψη'!$G$2:$G289&lt;$B188)*('Σύνοψη'!$H$2:$H289&gt;$B188))&gt;0, CHAR(34), """") ), """")"),"")</f>
        <v/>
      </c>
      <c r="D188" s="67" t="str">
        <f ca="1">IFERROR(__xludf.DUMMYFUNCTION("IFERROR(IF(SUMPRODUCT(('Σύνοψη'!$F$2:$F289=$A188)*('Σύνοψη'!$C$2:$C289=D$3)*('Σύνοψη'!$G$2:$G289=$B188))&gt;0,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'Σύνοψη'!$C$2:$C289=D$3)), IF(SUMPRODUCT(('Σύνοψη'!$F$2:$F289=$A188)*('Σύνοψη'!$C$2:$C289=D$3)*('Σύνοψη'!$G$2:$G289&lt;$B188)*('Σύνοψη'!$H$2:$H289&gt;$B188))&gt;0, CHAR(34), """") ), """")"),"")</f>
        <v/>
      </c>
      <c r="E188" s="67" t="str">
        <f ca="1">IFERROR(__xludf.DUMMYFUNCTION("IFERROR(IF(SUMPRODUCT(('Σύνοψη'!$F$2:$F289=$A188)*('Σύνοψη'!$C$2:$C289=E$3)*('Σύνοψη'!$G$2:$G289=$B188))&gt;0,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'Σύνοψη'!$C$2:$C289=E$3)), IF(SUMPRODUCT(('Σύνοψη'!$F$2:$F289=$A188)*('Σύνοψη'!$C$2:$C289=E$3)*('Σύνοψη'!$G$2:$G289&lt;$B188)*('Σύνοψη'!$H$2:$H289&gt;$B188))&gt;0, CHAR(34), """") ), """")"),"")</f>
        <v/>
      </c>
      <c r="F188" s="67" t="str">
        <f ca="1">IFERROR(__xludf.DUMMYFUNCTION("IFERROR(IF(SUMPRODUCT(('Σύνοψη'!$F$2:$F289=$A188)*('Σύνοψη'!$C$2:$C289=F$3)*('Σύνοψη'!$G$2:$G289=$B188))&gt;0,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'Σύνοψη'!$C$2:$C289=F$3)), IF(SUMPRODUCT(('Σύνοψη'!$F$2:$F289=$A188)*('Σύνοψη'!$C$2:$C289=F$3)*('Σύνοψη'!$G$2:$G289&lt;$B188)*('Σύνοψη'!$H$2:$H289&gt;$B188))&gt;0, CHAR(34), """") ), """")"),"")</f>
        <v/>
      </c>
      <c r="G188" s="67" t="str">
        <f ca="1">IFERROR(__xludf.DUMMYFUNCTION("IFERROR(IF(SUMPRODUCT(('Σύνοψη'!$F$2:$F289=$A188)*('Σύνοψη'!$C$2:$C289=G$3)*('Σύνοψη'!$G$2:$G289=$B188))&gt;0,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'Σύνοψη'!$C$2:$C289=G$3)), IF(SUMPRODUCT(('Σύνοψη'!$F$2:$F289=$A188)*('Σύνοψη'!$C$2:$C289=G$3)*('Σύνοψη'!$G$2:$G289&lt;$B188)*('Σύνοψη'!$H$2:$H289&gt;$B188))&gt;0, CHAR(34), """") ), """")"),"""")</f>
        <v>"</v>
      </c>
      <c r="H188" s="67" t="str">
        <f ca="1">IFERROR(__xludf.DUMMYFUNCTION("IFERROR(IF(SUMPRODUCT(('Σύνοψη'!$F$2:$F289=$A188)*('Σύνοψη'!$C$2:$C289=H$3)*('Σύνοψη'!$G$2:$G289=$B188))&gt;0, TEXTJOIN(CHAR(10) &amp; ""-----------------------"" &amp; CHAR(10), TRUE, FILTER('Σύνοψη'!$E$2:$E289 &amp; "" - "" &amp; 'Σύνοψη'!$I$2:$I289 &amp; "" ("" &amp; 'Σύνοψη'!$J"&amp;"$2:$J289 &amp; "")"", 'Σύνοψη'!$F$2:$F289=$A188, 'Σύνοψη'!$G$2:$G289=$B188, 'Σύνοψη'!$C$2:$C289=H$3)), IF(SUMPRODUCT(('Σύνοψη'!$F$2:$F289=$A188)*('Σύνοψη'!$C$2:$C289=H$3)*('Σύνοψη'!$G$2:$G289&lt;$B188)*('Σύνοψη'!$H$2:$H289&gt;$B188))&gt;0, CHAR(34), """") ), """")"),"")</f>
        <v/>
      </c>
      <c r="I188" s="3"/>
    </row>
    <row r="189" spans="1:9" s="100" customFormat="1" x14ac:dyDescent="0.25">
      <c r="A189" s="95">
        <f t="shared" si="12"/>
        <v>46281</v>
      </c>
      <c r="B189" s="89">
        <v>0.875</v>
      </c>
      <c r="C189" s="67" t="str">
        <f ca="1">IFERROR(__xludf.DUMMYFUNCTION("IFERROR(IF(SUMPRODUCT(('Σύνοψη'!$F$2:$F289=$A189)*('Σύνοψη'!$C$2:$C289=C$3)*('Σύνοψη'!$G$2:$G289=$B189))&gt;0,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'Σύνοψη'!$C$2:$C289=C$3)), IF(SUMPRODUCT(('Σύνοψη'!$F$2:$F289=$A189)*('Σύνοψη'!$C$2:$C289=C$3)*('Σύνοψη'!$G$2:$G289&lt;$B189)*('Σύνοψη'!$H$2:$H289&gt;$B189))&gt;0, CHAR(34), """") ), """")"),"")</f>
        <v/>
      </c>
      <c r="D189" s="67" t="str">
        <f ca="1">IFERROR(__xludf.DUMMYFUNCTION("IFERROR(IF(SUMPRODUCT(('Σύνοψη'!$F$2:$F289=$A189)*('Σύνοψη'!$C$2:$C289=D$3)*('Σύνοψη'!$G$2:$G289=$B189))&gt;0,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'Σύνοψη'!$C$2:$C289=D$3)), IF(SUMPRODUCT(('Σύνοψη'!$F$2:$F289=$A189)*('Σύνοψη'!$C$2:$C289=D$3)*('Σύνοψη'!$G$2:$G289&lt;$B189)*('Σύνοψη'!$H$2:$H289&gt;$B189))&gt;0, CHAR(34), """") ), """")"),"")</f>
        <v/>
      </c>
      <c r="E189" s="67" t="str">
        <f ca="1">IFERROR(__xludf.DUMMYFUNCTION("IFERROR(IF(SUMPRODUCT(('Σύνοψη'!$F$2:$F289=$A189)*('Σύνοψη'!$C$2:$C289=E$3)*('Σύνοψη'!$G$2:$G289=$B189))&gt;0,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'Σύνοψη'!$C$2:$C289=E$3)), IF(SUMPRODUCT(('Σύνοψη'!$F$2:$F289=$A189)*('Σύνοψη'!$C$2:$C289=E$3)*('Σύνοψη'!$G$2:$G289&lt;$B189)*('Σύνοψη'!$H$2:$H289&gt;$B189))&gt;0, CHAR(34), """") ), """")"),"")</f>
        <v/>
      </c>
      <c r="F189" s="67" t="str">
        <f ca="1">IFERROR(__xludf.DUMMYFUNCTION("IFERROR(IF(SUMPRODUCT(('Σύνοψη'!$F$2:$F289=$A189)*('Σύνοψη'!$C$2:$C289=F$3)*('Σύνοψη'!$G$2:$G289=$B189))&gt;0,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'Σύνοψη'!$C$2:$C289=F$3)), IF(SUMPRODUCT(('Σύνοψη'!$F$2:$F289=$A189)*('Σύνοψη'!$C$2:$C289=F$3)*('Σύνοψη'!$G$2:$G289&lt;$B189)*('Σύνοψη'!$H$2:$H289&gt;$B189))&gt;0, CHAR(34), """") ), """")"),"")</f>
        <v/>
      </c>
      <c r="G189" s="67" t="str">
        <f ca="1">IFERROR(__xludf.DUMMYFUNCTION("IFERROR(IF(SUMPRODUCT(('Σύνοψη'!$F$2:$F289=$A189)*('Σύνοψη'!$C$2:$C289=G$3)*('Σύνοψη'!$G$2:$G289=$B189))&gt;0,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'Σύνοψη'!$C$2:$C289=G$3)), IF(SUMPRODUCT(('Σύνοψη'!$F$2:$F289=$A189)*('Σύνοψη'!$C$2:$C289=G$3)*('Σύνοψη'!$G$2:$G289&lt;$B189)*('Σύνοψη'!$H$2:$H289&gt;$B189))&gt;0, CHAR(34), """") ), """")"),"")</f>
        <v/>
      </c>
      <c r="H189" s="67" t="str">
        <f ca="1">IFERROR(__xludf.DUMMYFUNCTION("IFERROR(IF(SUMPRODUCT(('Σύνοψη'!$F$2:$F289=$A189)*('Σύνοψη'!$C$2:$C289=H$3)*('Σύνοψη'!$G$2:$G289=$B189))&gt;0, TEXTJOIN(CHAR(10) &amp; ""-----------------------"" &amp; CHAR(10), TRUE, FILTER('Σύνοψη'!$E$2:$E289 &amp; "" - "" &amp; 'Σύνοψη'!$I$2:$I289 &amp; "" ("" &amp; 'Σύνοψη'!$J"&amp;"$2:$J289 &amp; "")"", 'Σύνοψη'!$F$2:$F289=$A189, 'Σύνοψη'!$G$2:$G289=$B189, 'Σύνοψη'!$C$2:$C289=H$3)), IF(SUMPRODUCT(('Σύνοψη'!$F$2:$F289=$A189)*('Σύνοψη'!$C$2:$C289=H$3)*('Σύνοψη'!$G$2:$G289&lt;$B189)*('Σύνοψη'!$H$2:$H289&gt;$B189))&gt;0, CHAR(34), """") ), """")"),"")</f>
        <v/>
      </c>
      <c r="I189" s="3"/>
    </row>
    <row r="190" spans="1:9" s="100" customFormat="1" x14ac:dyDescent="0.25">
      <c r="A190" s="93">
        <f>$D$1+17</f>
        <v>46282</v>
      </c>
      <c r="B190" s="94">
        <v>0.33333333333333331</v>
      </c>
      <c r="C190" s="66" t="str">
        <f ca="1">IFERROR(__xludf.DUMMYFUNCTION("IFERROR(IF(SUMPRODUCT(('Σύνοψη'!$F$2:$F289=$A190)*('Σύνοψη'!$C$2:$C289=C$3)*('Σύνοψη'!$G$2:$G289=$B190))&gt;0,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'Σύνοψη'!$C$2:$C289=C$3)), IF(SUMPRODUCT(('Σύνοψη'!$F$2:$F289=$A190)*('Σύνοψη'!$C$2:$C289=C$3)*('Σύνοψη'!$G$2:$G289&lt;$B190)*('Σύνοψη'!$H$2:$H289&gt;$B190))&gt;0, CHAR(34), """") ), """")"),"")</f>
        <v/>
      </c>
      <c r="D190" s="66" t="str">
        <f ca="1">IFERROR(__xludf.DUMMYFUNCTION("IFERROR(IF(SUMPRODUCT(('Σύνοψη'!$F$2:$F289=$A190)*('Σύνοψη'!$C$2:$C289=D$3)*('Σύνοψη'!$G$2:$G289=$B190))&gt;0,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'Σύνοψη'!$C$2:$C289=D$3)), IF(SUMPRODUCT(('Σύνοψη'!$F$2:$F289=$A190)*('Σύνοψη'!$C$2:$C289=D$3)*('Σύνοψη'!$G$2:$G289&lt;$B190)*('Σύνοψη'!$H$2:$H289&gt;$B190))&gt;0, CHAR(34), """") ), """")"),"")</f>
        <v/>
      </c>
      <c r="E190" s="66" t="str">
        <f ca="1">IFERROR(__xludf.DUMMYFUNCTION("IFERROR(IF(SUMPRODUCT(('Σύνοψη'!$F$2:$F289=$A190)*('Σύνοψη'!$C$2:$C289=E$3)*('Σύνοψη'!$G$2:$G289=$B190))&gt;0,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'Σύνοψη'!$C$2:$C289=E$3)), IF(SUMPRODUCT(('Σύνοψη'!$F$2:$F289=$A190)*('Σύνοψη'!$C$2:$C289=E$3)*('Σύνοψη'!$G$2:$G289&lt;$B190)*('Σύνοψη'!$H$2:$H289&gt;$B190))&gt;0, CHAR(34), """") ), """")"),"")</f>
        <v/>
      </c>
      <c r="F190" s="66" t="str">
        <f ca="1">IFERROR(__xludf.DUMMYFUNCTION("IFERROR(IF(SUMPRODUCT(('Σύνοψη'!$F$2:$F289=$A190)*('Σύνοψη'!$C$2:$C289=F$3)*('Σύνοψη'!$G$2:$G289=$B190))&gt;0,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'Σύνοψη'!$C$2:$C289=F$3)), IF(SUMPRODUCT(('Σύνοψη'!$F$2:$F289=$A190)*('Σύνοψη'!$C$2:$C289=F$3)*('Σύνοψη'!$G$2:$G289&lt;$B190)*('Σύνοψη'!$H$2:$H289&gt;$B190))&gt;0, CHAR(34), """") ), """")"),"")</f>
        <v/>
      </c>
      <c r="G190" s="66" t="str">
        <f ca="1">IFERROR(__xludf.DUMMYFUNCTION("IFERROR(IF(SUMPRODUCT(('Σύνοψη'!$F$2:$F289=$A190)*('Σύνοψη'!$C$2:$C289=G$3)*('Σύνοψη'!$G$2:$G289=$B190))&gt;0,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'Σύνοψη'!$C$2:$C289=G$3)), IF(SUMPRODUCT(('Σύνοψη'!$F$2:$F289=$A190)*('Σύνοψη'!$C$2:$C289=G$3)*('Σύνοψη'!$G$2:$G289&lt;$B190)*('Σύνοψη'!$H$2:$H289&gt;$B190))&gt;0, CHAR(34), """") ), """")"),"")</f>
        <v/>
      </c>
      <c r="H190" s="66" t="str">
        <f ca="1">IFERROR(__xludf.DUMMYFUNCTION("IFERROR(IF(SUMPRODUCT(('Σύνοψη'!$F$2:$F289=$A190)*('Σύνοψη'!$C$2:$C289=H$3)*('Σύνοψη'!$G$2:$G289=$B190))&gt;0, TEXTJOIN(CHAR(10) &amp; ""-----------------------"" &amp; CHAR(10), TRUE, FILTER('Σύνοψη'!$E$2:$E289 &amp; "" - "" &amp; 'Σύνοψη'!$I$2:$I289 &amp; "" ("" &amp; 'Σύνοψη'!$J"&amp;"$2:$J289 &amp; "")"", 'Σύνοψη'!$F$2:$F289=$A190, 'Σύνοψη'!$G$2:$G289=$B190, 'Σύνοψη'!$C$2:$C289=H$3)), IF(SUMPRODUCT(('Σύνοψη'!$F$2:$F289=$A190)*('Σύνοψη'!$C$2:$C289=H$3)*('Σύνοψη'!$G$2:$G289&lt;$B190)*('Σύνοψη'!$H$2:$H289&gt;$B190))&gt;0, CHAR(34), """") ), """")"),"")</f>
        <v/>
      </c>
      <c r="I190" s="3"/>
    </row>
    <row r="191" spans="1:9" s="100" customFormat="1" ht="60" x14ac:dyDescent="0.25">
      <c r="A191" s="95">
        <f t="shared" ref="A191:A203" si="13">$A$190</f>
        <v>46282</v>
      </c>
      <c r="B191" s="89">
        <v>0.375</v>
      </c>
      <c r="C191" s="67" t="str">
        <f ca="1">IFERROR(__xludf.DUMMYFUNCTION("IFERROR(IF(SUMPRODUCT(('Σύνοψη'!$F$2:$F289=$A191)*('Σύνοψη'!$C$2:$C289=C$3)*('Σύνοψη'!$G$2:$G289=$B191))&gt;0,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'Σύνοψη'!$C$2:$C289=C$3)), IF(SUMPRODUCT(('Σύνοψη'!$F$2:$F289=$A191)*('Σύνοψη'!$C$2:$C289=C$3)*('Σύνοψη'!$G$2:$G289&lt;$B191)*('Σύνοψη'!$H$2:$H289&gt;$B191))&gt;0, CHAR(34), """") ), """")"),"")</f>
        <v/>
      </c>
      <c r="D191" s="67" t="str">
        <f ca="1">IFERROR(__xludf.DUMMYFUNCTION("IFERROR(IF(SUMPRODUCT(('Σύνοψη'!$F$2:$F289=$A191)*('Σύνοψη'!$C$2:$C289=D$3)*('Σύνοψη'!$G$2:$G289=$B191))&gt;0,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'Σύνοψη'!$C$2:$C289=D$3)), IF(SUMPRODUCT(('Σύνοψη'!$F$2:$F289=$A191)*('Σύνοψη'!$C$2:$C289=D$3)*('Σύνοψη'!$G$2:$G289&lt;$B191)*('Σύνοψη'!$H$2:$H289&gt;$B191))&gt;0, CHAR(34), """") ), """")"),"")</f>
        <v/>
      </c>
      <c r="E191" s="67" t="str">
        <f ca="1">IFERROR(__xludf.DUMMYFUNCTION("IFERROR(IF(SUMPRODUCT(('Σύνοψη'!$F$2:$F289=$A191)*('Σύνοψη'!$C$2:$C289=E$3)*('Σύνοψη'!$G$2:$G289=$B191))&gt;0,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'Σύνοψη'!$C$2:$C289=E$3)), IF(SUMPRODUCT(('Σύνοψη'!$F$2:$F289=$A191)*('Σύνοψη'!$C$2:$C289=E$3)*('Σύνοψη'!$G$2:$G289&lt;$B191)*('Σύνοψη'!$H$2:$H289&gt;$B191))&gt;0, CHAR(34), """") ), """")"),"Λοιμώδη Νοσήματα &amp; Σχετική Νομοθεσία Ι - 09:00 - 12:00 (Νέες Αίθουσες)")</f>
        <v>Λοιμώδη Νοσήματα &amp; Σχετική Νομοθεσία Ι - 09:00 - 12:00 (Νέες Αίθουσες)</v>
      </c>
      <c r="F191" s="67" t="str">
        <f ca="1">IFERROR(__xludf.DUMMYFUNCTION("IFERROR(IF(SUMPRODUCT(('Σύνοψη'!$F$2:$F289=$A191)*('Σύνοψη'!$C$2:$C289=F$3)*('Σύνοψη'!$G$2:$G289=$B191))&gt;0,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'Σύνοψη'!$C$2:$C289=F$3)), IF(SUMPRODUCT(('Σύνοψη'!$F$2:$F289=$A191)*('Σύνοψη'!$C$2:$C289=F$3)*('Σύνοψη'!$G$2:$G289&lt;$B191)*('Σύνοψη'!$H$2:$H289&gt;$B191))&gt;0, CHAR(34), """") ), """")"),"")</f>
        <v/>
      </c>
      <c r="G191" s="67" t="str">
        <f ca="1">IFERROR(__xludf.DUMMYFUNCTION("IFERROR(IF(SUMPRODUCT(('Σύνοψη'!$F$2:$F289=$A191)*('Σύνοψη'!$C$2:$C289=G$3)*('Σύνοψη'!$G$2:$G289=$B191))&gt;0,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'Σύνοψη'!$C$2:$C289=G$3)), IF(SUMPRODUCT(('Σύνοψη'!$F$2:$F289=$A191)*('Σύνοψη'!$C$2:$C289=G$3)*('Σύνοψη'!$G$2:$G289&lt;$B191)*('Σύνοψη'!$H$2:$H289&gt;$B191))&gt;0, CHAR(34), """") ), """")"),"Πρακτική Άσκηση στη Μαιευτική &amp; Αναπαραγωγή ΙΙ (Γραπτά Μικρά Μηρυκαστικά) - 09:00 - 11:00 (Μεγάλο Αμφιθέατρο)")</f>
        <v>Πρακτική Άσκηση στη Μαιευτική &amp; Αναπαραγωγή ΙΙ (Γραπτά Μικρά Μηρυκαστικά) - 09:00 - 11:00 (Μεγάλο Αμφιθέατρο)</v>
      </c>
      <c r="H191" s="67" t="str">
        <f ca="1">IFERROR(__xludf.DUMMYFUNCTION("IFERROR(IF(SUMPRODUCT(('Σύνοψη'!$F$2:$F289=$A191)*('Σύνοψη'!$C$2:$C289=H$3)*('Σύνοψη'!$G$2:$G289=$B191))&gt;0, TEXTJOIN(CHAR(10) &amp; ""-----------------------"" &amp; CHAR(10), TRUE, FILTER('Σύνοψη'!$E$2:$E289 &amp; "" - "" &amp; 'Σύνοψη'!$I$2:$I289 &amp; "" ("" &amp; 'Σύνοψη'!$J"&amp;"$2:$J289 &amp; "")"", 'Σύνοψη'!$F$2:$F289=$A191, 'Σύνοψη'!$G$2:$G289=$B191, 'Σύνοψη'!$C$2:$C289=H$3)), IF(SUMPRODUCT(('Σύνοψη'!$F$2:$F289=$A191)*('Σύνοψη'!$C$2:$C289=H$3)*('Σύνοψη'!$G$2:$G289&lt;$B191)*('Σύνοψη'!$H$2:$H289&gt;$B191))&gt;0, CHAR(34), """") ), """")"),"Μαιευτική-Αναπαραγωγή ΙV (ΠΠΣ) (Γραπτά Μικρά Μηρυκαστικά) - 09:00 - 11:00 (Μεγάλο Αμφιθέατρο)")</f>
        <v>Μαιευτική-Αναπαραγωγή ΙV (ΠΠΣ) (Γραπτά Μικρά Μηρυκαστικά) - 09:00 - 11:00 (Μεγάλο Αμφιθέατρο)</v>
      </c>
      <c r="I191" s="3"/>
    </row>
    <row r="192" spans="1:9" s="100" customFormat="1" x14ac:dyDescent="0.25">
      <c r="A192" s="95">
        <f t="shared" si="13"/>
        <v>46282</v>
      </c>
      <c r="B192" s="89">
        <v>0.41666666666666669</v>
      </c>
      <c r="C192" s="67" t="str">
        <f ca="1">IFERROR(__xludf.DUMMYFUNCTION("IFERROR(IF(SUMPRODUCT(('Σύνοψη'!$F$2:$F289=$A192)*('Σύνοψη'!$C$2:$C289=C$3)*('Σύνοψη'!$G$2:$G289=$B192))&gt;0,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'Σύνοψη'!$C$2:$C289=C$3)), IF(SUMPRODUCT(('Σύνοψη'!$F$2:$F289=$A192)*('Σύνοψη'!$C$2:$C289=C$3)*('Σύνοψη'!$G$2:$G289&lt;$B192)*('Σύνοψη'!$H$2:$H289&gt;$B192))&gt;0, CHAR(34), """") ), """")"),"")</f>
        <v/>
      </c>
      <c r="D192" s="67" t="str">
        <f ca="1">IFERROR(__xludf.DUMMYFUNCTION("IFERROR(IF(SUMPRODUCT(('Σύνοψη'!$F$2:$F289=$A192)*('Σύνοψη'!$C$2:$C289=D$3)*('Σύνοψη'!$G$2:$G289=$B192))&gt;0,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'Σύνοψη'!$C$2:$C289=D$3)), IF(SUMPRODUCT(('Σύνοψη'!$F$2:$F289=$A192)*('Σύνοψη'!$C$2:$C289=D$3)*('Σύνοψη'!$G$2:$G289&lt;$B192)*('Σύνοψη'!$H$2:$H289&gt;$B192))&gt;0, CHAR(34), """") ), """")"),"")</f>
        <v/>
      </c>
      <c r="E192" s="67" t="str">
        <f ca="1">IFERROR(__xludf.DUMMYFUNCTION("IFERROR(IF(SUMPRODUCT(('Σύνοψη'!$F$2:$F289=$A192)*('Σύνοψη'!$C$2:$C289=E$3)*('Σύνοψη'!$G$2:$G289=$B192))&gt;0,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'Σύνοψη'!$C$2:$C289=E$3)), IF(SUMPRODUCT(('Σύνοψη'!$F$2:$F289=$A192)*('Σύνοψη'!$C$2:$C289=E$3)*('Σύνοψη'!$G$2:$G289&lt;$B192)*('Σύνοψη'!$H$2:$H289&gt;$B192))&gt;0, CHAR(34), """") ), """")"),"""")</f>
        <v>"</v>
      </c>
      <c r="F192" s="67" t="str">
        <f ca="1">IFERROR(__xludf.DUMMYFUNCTION("IFERROR(IF(SUMPRODUCT(('Σύνοψη'!$F$2:$F289=$A192)*('Σύνοψη'!$C$2:$C289=F$3)*('Σύνοψη'!$G$2:$G289=$B192))&gt;0,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'Σύνοψη'!$C$2:$C289=F$3)), IF(SUMPRODUCT(('Σύνοψη'!$F$2:$F289=$A192)*('Σύνοψη'!$C$2:$C289=F$3)*('Σύνοψη'!$G$2:$G289&lt;$B192)*('Σύνοψη'!$H$2:$H289&gt;$B192))&gt;0, CHAR(34), """") ), """")"),"")</f>
        <v/>
      </c>
      <c r="G192" s="67" t="str">
        <f ca="1">IFERROR(__xludf.DUMMYFUNCTION("IFERROR(IF(SUMPRODUCT(('Σύνοψη'!$F$2:$F289=$A192)*('Σύνοψη'!$C$2:$C289=G$3)*('Σύνοψη'!$G$2:$G289=$B192))&gt;0,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'Σύνοψη'!$C$2:$C289=G$3)), IF(SUMPRODUCT(('Σύνοψη'!$F$2:$F289=$A192)*('Σύνοψη'!$C$2:$C289=G$3)*('Σύνοψη'!$G$2:$G289&lt;$B192)*('Σύνοψη'!$H$2:$H289&gt;$B192))&gt;0, CHAR(34), """") ), """")"),"""")</f>
        <v>"</v>
      </c>
      <c r="H192" s="67" t="str">
        <f ca="1">IFERROR(__xludf.DUMMYFUNCTION("IFERROR(IF(SUMPRODUCT(('Σύνοψη'!$F$2:$F289=$A192)*('Σύνοψη'!$C$2:$C289=H$3)*('Σύνοψη'!$G$2:$G289=$B192))&gt;0, TEXTJOIN(CHAR(10) &amp; ""-----------------------"" &amp; CHAR(10), TRUE, FILTER('Σύνοψη'!$E$2:$E289 &amp; "" - "" &amp; 'Σύνοψη'!$I$2:$I289 &amp; "" ("" &amp; 'Σύνοψη'!$J"&amp;"$2:$J289 &amp; "")"", 'Σύνοψη'!$F$2:$F289=$A192, 'Σύνοψη'!$G$2:$G289=$B192, 'Σύνοψη'!$C$2:$C289=H$3)), IF(SUMPRODUCT(('Σύνοψη'!$F$2:$F289=$A192)*('Σύνοψη'!$C$2:$C289=H$3)*('Σύνοψη'!$G$2:$G289&lt;$B192)*('Σύνοψη'!$H$2:$H289&gt;$B192))&gt;0, CHAR(34), """") ), """")"),"""")</f>
        <v>"</v>
      </c>
      <c r="I192" s="3"/>
    </row>
    <row r="193" spans="1:9" s="100" customFormat="1" ht="45" x14ac:dyDescent="0.25">
      <c r="A193" s="95">
        <f t="shared" si="13"/>
        <v>46282</v>
      </c>
      <c r="B193" s="89">
        <v>0.45833333333333331</v>
      </c>
      <c r="C193" s="67" t="str">
        <f ca="1">IFERROR(__xludf.DUMMYFUNCTION("IFERROR(IF(SUMPRODUCT(('Σύνοψη'!$F$2:$F289=$A193)*('Σύνοψη'!$C$2:$C289=C$3)*('Σύνοψη'!$G$2:$G289=$B193))&gt;0,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'Σύνοψη'!$C$2:$C289=C$3)), IF(SUMPRODUCT(('Σύνοψη'!$F$2:$F289=$A193)*('Σύνοψη'!$C$2:$C289=C$3)*('Σύνοψη'!$G$2:$G289&lt;$B193)*('Σύνοψη'!$H$2:$H289&gt;$B193))&gt;0, CHAR(34), """") ), """")"),"")</f>
        <v/>
      </c>
      <c r="D193" s="67" t="str">
        <f ca="1">IFERROR(__xludf.DUMMYFUNCTION("IFERROR(IF(SUMPRODUCT(('Σύνοψη'!$F$2:$F289=$A193)*('Σύνοψη'!$C$2:$C289=D$3)*('Σύνοψη'!$G$2:$G289=$B193))&gt;0,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'Σύνοψη'!$C$2:$C289=D$3)), IF(SUMPRODUCT(('Σύνοψη'!$F$2:$F289=$A193)*('Σύνοψη'!$C$2:$C289=D$3)*('Σύνοψη'!$G$2:$G289&lt;$B193)*('Σύνοψη'!$H$2:$H289&gt;$B193))&gt;0, CHAR(34), """") ), """")"),"")</f>
        <v/>
      </c>
      <c r="E193" s="67" t="str">
        <f ca="1">IFERROR(__xludf.DUMMYFUNCTION("IFERROR(IF(SUMPRODUCT(('Σύνοψη'!$F$2:$F289=$A193)*('Σύνοψη'!$C$2:$C289=E$3)*('Σύνοψη'!$G$2:$G289=$B193))&gt;0,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'Σύνοψη'!$C$2:$C289=E$3)), IF(SUMPRODUCT(('Σύνοψη'!$F$2:$F289=$A193)*('Σύνοψη'!$C$2:$C289=E$3)*('Σύνοψη'!$G$2:$G289&lt;$B193)*('Σύνοψη'!$H$2:$H289&gt;$B193))&gt;0, CHAR(34), """") ), """")"),"""")</f>
        <v>"</v>
      </c>
      <c r="F193" s="67" t="str">
        <f ca="1">IFERROR(__xludf.DUMMYFUNCTION("IFERROR(IF(SUMPRODUCT(('Σύνοψη'!$F$2:$F289=$A193)*('Σύνοψη'!$C$2:$C289=F$3)*('Σύνοψη'!$G$2:$G289=$B193))&gt;0,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'Σύνοψη'!$C$2:$C289=F$3)), IF(SUMPRODUCT(('Σύνοψη'!$F$2:$F289=$A193)*('Σύνοψη'!$C$2:$C289=F$3)*('Σύνοψη'!$G$2:$G289&lt;$B193)*('Σύνοψη'!$H$2:$H289&gt;$B193))&gt;0, CHAR(34), """") ), """")"),"")</f>
        <v/>
      </c>
      <c r="G193" s="67" t="str">
        <f ca="1">IFERROR(__xludf.DUMMYFUNCTION("IFERROR(IF(SUMPRODUCT(('Σύνοψη'!$F$2:$F289=$A193)*('Σύνοψη'!$C$2:$C289=G$3)*('Σύνοψη'!$G$2:$G289=$B193))&gt;0,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'Σύνοψη'!$C$2:$C289=G$3)), IF(SUMPRODUCT(('Σύνοψη'!$F$2:$F289=$A193)*('Σύνοψη'!$C$2:$C289=G$3)*('Σύνοψη'!$G$2:$G289&lt;$B193)*('Σύνοψη'!$H$2:$H289&gt;$B193))&gt;0, CHAR(34), """") ), """")"),"Πρακτική Άσκηση στη Μαιευτική &amp; Αναπαραγωγή ΙΙ (Γραπτά ΖΣ) - 11:00 - 14:00 (Αμφιθέατρα)")</f>
        <v>Πρακτική Άσκηση στη Μαιευτική &amp; Αναπαραγωγή ΙΙ (Γραπτά ΖΣ) - 11:00 - 14:00 (Αμφιθέατρα)</v>
      </c>
      <c r="H193" s="67" t="str">
        <f ca="1">IFERROR(__xludf.DUMMYFUNCTION("IFERROR(IF(SUMPRODUCT(('Σύνοψη'!$F$2:$F289=$A193)*('Σύνοψη'!$C$2:$C289=H$3)*('Σύνοψη'!$G$2:$G289=$B193))&gt;0, TEXTJOIN(CHAR(10) &amp; ""-----------------------"" &amp; CHAR(10), TRUE, FILTER('Σύνοψη'!$E$2:$E289 &amp; "" - "" &amp; 'Σύνοψη'!$I$2:$I289 &amp; "" ("" &amp; 'Σύνοψη'!$J"&amp;"$2:$J289 &amp; "")"", 'Σύνοψη'!$F$2:$F289=$A193, 'Σύνοψη'!$G$2:$G289=$B193, 'Σύνοψη'!$C$2:$C289=H$3)), IF(SUMPRODUCT(('Σύνοψη'!$F$2:$F289=$A193)*('Σύνοψη'!$C$2:$C289=H$3)*('Σύνοψη'!$G$2:$G289&lt;$B193)*('Σύνοψη'!$H$2:$H289&gt;$B193))&gt;0, CHAR(34), """") ), """")"),"Μαιευτική-Αναπαραγωγή ΙV (ΠΠΣ) (Γραπτά ΖΣ) - 11:00 - 14:00 (Αμφιθέατρα)")</f>
        <v>Μαιευτική-Αναπαραγωγή ΙV (ΠΠΣ) (Γραπτά ΖΣ) - 11:00 - 14:00 (Αμφιθέατρα)</v>
      </c>
      <c r="I193" s="3"/>
    </row>
    <row r="194" spans="1:9" s="100" customFormat="1" ht="45" x14ac:dyDescent="0.25">
      <c r="A194" s="95">
        <f t="shared" si="13"/>
        <v>46282</v>
      </c>
      <c r="B194" s="89">
        <v>0.5</v>
      </c>
      <c r="C194" s="67" t="str">
        <f ca="1">IFERROR(__xludf.DUMMYFUNCTION("IFERROR(IF(SUMPRODUCT(('Σύνοψη'!$F$2:$F289=$A194)*('Σύνοψη'!$C$2:$C289=C$3)*('Σύνοψη'!$G$2:$G289=$B194))&gt;0,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'Σύνοψη'!$C$2:$C289=C$3)), IF(SUMPRODUCT(('Σύνοψη'!$F$2:$F289=$A194)*('Σύνοψη'!$C$2:$C289=C$3)*('Σύνοψη'!$G$2:$G289&lt;$B194)*('Σύνοψη'!$H$2:$H289&gt;$B194))&gt;0, CHAR(34), """") ), """")"),"Μικροσκοπική Ανατομική Ι (Θεωρία) - 12:00 - 14:00 (Νέες Αίθουσες)")</f>
        <v>Μικροσκοπική Ανατομική Ι (Θεωρία) - 12:00 - 14:00 (Νέες Αίθουσες)</v>
      </c>
      <c r="D194" s="67" t="str">
        <f ca="1">IFERROR(__xludf.DUMMYFUNCTION("IFERROR(IF(SUMPRODUCT(('Σύνοψη'!$F$2:$F289=$A194)*('Σύνοψη'!$C$2:$C289=D$3)*('Σύνοψη'!$G$2:$G289=$B194))&gt;0,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'Σύνοψη'!$C$2:$C289=D$3)), IF(SUMPRODUCT(('Σύνοψη'!$F$2:$F289=$A194)*('Σύνοψη'!$C$2:$C289=D$3)*('Σύνοψη'!$G$2:$G289&lt;$B194)*('Σύνοψη'!$H$2:$H289&gt;$B194))&gt;0, CHAR(34), """") ), """")"),"")</f>
        <v/>
      </c>
      <c r="E194" s="67" t="str">
        <f ca="1">IFERROR(__xludf.DUMMYFUNCTION("IFERROR(IF(SUMPRODUCT(('Σύνοψη'!$F$2:$F289=$A194)*('Σύνοψη'!$C$2:$C289=E$3)*('Σύνοψη'!$G$2:$G289=$B194))&gt;0,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'Σύνοψη'!$C$2:$C289=E$3)), IF(SUMPRODUCT(('Σύνοψη'!$F$2:$F289=$A194)*('Σύνοψη'!$C$2:$C289=E$3)*('Σύνοψη'!$G$2:$G289&lt;$B194)*('Σύνοψη'!$H$2:$H289&gt;$B194))&gt;0, CHAR(34), """") ), """")"),"")</f>
        <v/>
      </c>
      <c r="F194" s="67" t="str">
        <f ca="1">IFERROR(__xludf.DUMMYFUNCTION("IFERROR(IF(SUMPRODUCT(('Σύνοψη'!$F$2:$F289=$A194)*('Σύνοψη'!$C$2:$C289=F$3)*('Σύνοψη'!$G$2:$G289=$B194))&gt;0,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'Σύνοψη'!$C$2:$C289=F$3)), IF(SUMPRODUCT(('Σύνοψη'!$F$2:$F289=$A194)*('Σύνοψη'!$C$2:$C289=F$3)*('Σύνοψη'!$G$2:$G289&lt;$B194)*('Σύνοψη'!$H$2:$H289&gt;$B194))&gt;0, CHAR(34), """") ), """")"),"")</f>
        <v/>
      </c>
      <c r="G194" s="67" t="str">
        <f ca="1">IFERROR(__xludf.DUMMYFUNCTION("IFERROR(IF(SUMPRODUCT(('Σύνοψη'!$F$2:$F289=$A194)*('Σύνοψη'!$C$2:$C289=G$3)*('Σύνοψη'!$G$2:$G289=$B194))&gt;0,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'Σύνοψη'!$C$2:$C289=G$3)), IF(SUMPRODUCT(('Σύνοψη'!$F$2:$F289=$A194)*('Σύνοψη'!$C$2:$C289=G$3)*('Σύνοψη'!$G$2:$G289&lt;$B194)*('Σύνοψη'!$H$2:$H289&gt;$B194))&gt;0, CHAR(34), """") ), """")"),"""")</f>
        <v>"</v>
      </c>
      <c r="H194" s="67" t="str">
        <f ca="1">IFERROR(__xludf.DUMMYFUNCTION("IFERROR(IF(SUMPRODUCT(('Σύνοψη'!$F$2:$F289=$A194)*('Σύνοψη'!$C$2:$C289=H$3)*('Σύνοψη'!$G$2:$G289=$B194))&gt;0, TEXTJOIN(CHAR(10) &amp; ""-----------------------"" &amp; CHAR(10), TRUE, FILTER('Σύνοψη'!$E$2:$E289 &amp; "" - "" &amp; 'Σύνοψη'!$I$2:$I289 &amp; "" ("" &amp; 'Σύνοψη'!$J"&amp;"$2:$J289 &amp; "")"", 'Σύνοψη'!$F$2:$F289=$A194, 'Σύνοψη'!$G$2:$G289=$B194, 'Σύνοψη'!$C$2:$C289=H$3)), IF(SUMPRODUCT(('Σύνοψη'!$F$2:$F289=$A194)*('Σύνοψη'!$C$2:$C289=H$3)*('Σύνοψη'!$G$2:$G289&lt;$B194)*('Σύνοψη'!$H$2:$H289&gt;$B194))&gt;0, CHAR(34), """") ), """")"),"Μικροσκοπική Ανατομική Ι (ΠΠΣ) (Θεωρία) - 12:00 - 14:00 (Νέες Αίθουσες)")</f>
        <v>Μικροσκοπική Ανατομική Ι (ΠΠΣ) (Θεωρία) - 12:00 - 14:00 (Νέες Αίθουσες)</v>
      </c>
      <c r="I194" s="3"/>
    </row>
    <row r="195" spans="1:9" s="100" customFormat="1" x14ac:dyDescent="0.25">
      <c r="A195" s="95">
        <f t="shared" si="13"/>
        <v>46282</v>
      </c>
      <c r="B195" s="89">
        <v>0.54166666666666663</v>
      </c>
      <c r="C195" s="67" t="str">
        <f ca="1">IFERROR(__xludf.DUMMYFUNCTION("IFERROR(IF(SUMPRODUCT(('Σύνοψη'!$F$2:$F289=$A195)*('Σύνοψη'!$C$2:$C289=C$3)*('Σύνοψη'!$G$2:$G289=$B195))&gt;0,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'Σύνοψη'!$C$2:$C289=C$3)), IF(SUMPRODUCT(('Σύνοψη'!$F$2:$F289=$A195)*('Σύνοψη'!$C$2:$C289=C$3)*('Σύνοψη'!$G$2:$G289&lt;$B195)*('Σύνοψη'!$H$2:$H289&gt;$B195))&gt;0, CHAR(34), """") ), """")"),"""")</f>
        <v>"</v>
      </c>
      <c r="D195" s="67" t="str">
        <f ca="1">IFERROR(__xludf.DUMMYFUNCTION("IFERROR(IF(SUMPRODUCT(('Σύνοψη'!$F$2:$F289=$A195)*('Σύνοψη'!$C$2:$C289=D$3)*('Σύνοψη'!$G$2:$G289=$B195))&gt;0,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'Σύνοψη'!$C$2:$C289=D$3)), IF(SUMPRODUCT(('Σύνοψη'!$F$2:$F289=$A195)*('Σύνοψη'!$C$2:$C289=D$3)*('Σύνοψη'!$G$2:$G289&lt;$B195)*('Σύνοψη'!$H$2:$H289&gt;$B195))&gt;0, CHAR(34), """") ), """")"),"")</f>
        <v/>
      </c>
      <c r="E195" s="67" t="str">
        <f ca="1">IFERROR(__xludf.DUMMYFUNCTION("IFERROR(IF(SUMPRODUCT(('Σύνοψη'!$F$2:$F289=$A195)*('Σύνοψη'!$C$2:$C289=E$3)*('Σύνοψη'!$G$2:$G289=$B195))&gt;0,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'Σύνοψη'!$C$2:$C289=E$3)), IF(SUMPRODUCT(('Σύνοψη'!$F$2:$F289=$A195)*('Σύνοψη'!$C$2:$C289=E$3)*('Σύνοψη'!$G$2:$G289&lt;$B195)*('Σύνοψη'!$H$2:$H289&gt;$B195))&gt;0, CHAR(34), """") ), """")"),"")</f>
        <v/>
      </c>
      <c r="F195" s="67" t="str">
        <f ca="1">IFERROR(__xludf.DUMMYFUNCTION("IFERROR(IF(SUMPRODUCT(('Σύνοψη'!$F$2:$F289=$A195)*('Σύνοψη'!$C$2:$C289=F$3)*('Σύνοψη'!$G$2:$G289=$B195))&gt;0,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'Σύνοψη'!$C$2:$C289=F$3)), IF(SUMPRODUCT(('Σύνοψη'!$F$2:$F289=$A195)*('Σύνοψη'!$C$2:$C289=F$3)*('Σύνοψη'!$G$2:$G289&lt;$B195)*('Σύνοψη'!$H$2:$H289&gt;$B195))&gt;0, CHAR(34), """") ), """")"),"")</f>
        <v/>
      </c>
      <c r="G195" s="67" t="str">
        <f ca="1">IFERROR(__xludf.DUMMYFUNCTION("IFERROR(IF(SUMPRODUCT(('Σύνοψη'!$F$2:$F289=$A195)*('Σύνοψη'!$C$2:$C289=G$3)*('Σύνοψη'!$G$2:$G289=$B195))&gt;0,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'Σύνοψη'!$C$2:$C289=G$3)), IF(SUMPRODUCT(('Σύνοψη'!$F$2:$F289=$A195)*('Σύνοψη'!$C$2:$C289=G$3)*('Σύνοψη'!$G$2:$G289&lt;$B195)*('Σύνοψη'!$H$2:$H289&gt;$B195))&gt;0, CHAR(34), """") ), """")"),"""")</f>
        <v>"</v>
      </c>
      <c r="H195" s="67" t="str">
        <f ca="1">IFERROR(__xludf.DUMMYFUNCTION("IFERROR(IF(SUMPRODUCT(('Σύνοψη'!$F$2:$F289=$A195)*('Σύνοψη'!$C$2:$C289=H$3)*('Σύνοψη'!$G$2:$G289=$B195))&gt;0, TEXTJOIN(CHAR(10) &amp; ""-----------------------"" &amp; CHAR(10), TRUE, FILTER('Σύνοψη'!$E$2:$E289 &amp; "" - "" &amp; 'Σύνοψη'!$I$2:$I289 &amp; "" ("" &amp; 'Σύνοψη'!$J"&amp;"$2:$J289 &amp; "")"", 'Σύνοψη'!$F$2:$F289=$A195, 'Σύνοψη'!$G$2:$G289=$B195, 'Σύνοψη'!$C$2:$C289=H$3)), IF(SUMPRODUCT(('Σύνοψη'!$F$2:$F289=$A195)*('Σύνοψη'!$C$2:$C289=H$3)*('Σύνοψη'!$G$2:$G289&lt;$B195)*('Σύνοψη'!$H$2:$H289&gt;$B195))&gt;0, CHAR(34), """") ), """")"),"""")</f>
        <v>"</v>
      </c>
      <c r="I195" s="3"/>
    </row>
    <row r="196" spans="1:9" s="100" customFormat="1" ht="30" x14ac:dyDescent="0.25">
      <c r="A196" s="95">
        <f t="shared" si="13"/>
        <v>46282</v>
      </c>
      <c r="B196" s="89">
        <v>0.58333333333333337</v>
      </c>
      <c r="C196" s="67" t="str">
        <f ca="1">IFERROR(__xludf.DUMMYFUNCTION("IFERROR(IF(SUMPRODUCT(('Σύνοψη'!$F$2:$F289=$A196)*('Σύνοψη'!$C$2:$C289=C$3)*('Σύνοψη'!$G$2:$G289=$B196))&gt;0,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'Σύνοψη'!$C$2:$C289=C$3)), IF(SUMPRODUCT(('Σύνοψη'!$F$2:$F289=$A196)*('Σύνοψη'!$C$2:$C289=C$3)*('Σύνοψη'!$G$2:$G289&lt;$B196)*('Σύνοψη'!$H$2:$H289&gt;$B196))&gt;0, CHAR(34), """") ), """")"),"")</f>
        <v/>
      </c>
      <c r="D196" s="67" t="str">
        <f ca="1">IFERROR(__xludf.DUMMYFUNCTION("IFERROR(IF(SUMPRODUCT(('Σύνοψη'!$F$2:$F289=$A196)*('Σύνοψη'!$C$2:$C289=D$3)*('Σύνοψη'!$G$2:$G289=$B196))&gt;0,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'Σύνοψη'!$C$2:$C289=D$3)), IF(SUMPRODUCT(('Σύνοψη'!$F$2:$F289=$A196)*('Σύνοψη'!$C$2:$C289=D$3)*('Σύνοψη'!$G$2:$G289&lt;$B196)*('Σύνοψη'!$H$2:$H289&gt;$B196))&gt;0, CHAR(34), """") ), """")"),"")</f>
        <v/>
      </c>
      <c r="E196" s="67" t="str">
        <f ca="1">IFERROR(__xludf.DUMMYFUNCTION("IFERROR(IF(SUMPRODUCT(('Σύνοψη'!$F$2:$F289=$A196)*('Σύνοψη'!$C$2:$C289=E$3)*('Σύνοψη'!$G$2:$G289=$B196))&gt;0,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'Σύνοψη'!$C$2:$C289=E$3)), IF(SUMPRODUCT(('Σύνοψη'!$F$2:$F289=$A196)*('Σύνοψη'!$C$2:$C289=E$3)*('Σύνοψη'!$G$2:$G289&lt;$B196)*('Σύνοψη'!$H$2:$H289&gt;$B196))&gt;0, CHAR(34), """") ), """")"),"")</f>
        <v/>
      </c>
      <c r="F196" s="67" t="str">
        <f ca="1">IFERROR(__xludf.DUMMYFUNCTION("IFERROR(IF(SUMPRODUCT(('Σύνοψη'!$F$2:$F289=$A196)*('Σύνοψη'!$C$2:$C289=F$3)*('Σύνοψη'!$G$2:$G289=$B196))&gt;0,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'Σύνοψη'!$C$2:$C289=F$3)), IF(SUMPRODUCT(('Σύνοψη'!$F$2:$F289=$A196)*('Σύνοψη'!$C$2:$C289=F$3)*('Σύνοψη'!$G$2:$G289&lt;$B196)*('Σύνοψη'!$H$2:$H289&gt;$B196))&gt;0, CHAR(34), """") ), """")"),"Απεικονιστική Διαγνωστική - 14:00 - 17:00 (Νέες Αίθουσες)")</f>
        <v>Απεικονιστική Διαγνωστική - 14:00 - 17:00 (Νέες Αίθουσες)</v>
      </c>
      <c r="G196" s="67" t="str">
        <f ca="1">IFERROR(__xludf.DUMMYFUNCTION("IFERROR(IF(SUMPRODUCT(('Σύνοψη'!$F$2:$F289=$A196)*('Σύνοψη'!$C$2:$C289=G$3)*('Σύνοψη'!$G$2:$G289=$B196))&gt;0,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'Σύνοψη'!$C$2:$C289=G$3)), IF(SUMPRODUCT(('Σύνοψη'!$F$2:$F289=$A196)*('Σύνοψη'!$C$2:$C289=G$3)*('Σύνοψη'!$G$2:$G289&lt;$B196)*('Σύνοψη'!$H$2:$H289&gt;$B196))&gt;0, CHAR(34), """") ), """")"),"")</f>
        <v/>
      </c>
      <c r="H196" s="67" t="str">
        <f ca="1">IFERROR(__xludf.DUMMYFUNCTION("IFERROR(IF(SUMPRODUCT(('Σύνοψη'!$F$2:$F289=$A196)*('Σύνοψη'!$C$2:$C289=H$3)*('Σύνοψη'!$G$2:$G289=$B196))&gt;0, TEXTJOIN(CHAR(10) &amp; ""-----------------------"" &amp; CHAR(10), TRUE, FILTER('Σύνοψη'!$E$2:$E289 &amp; "" - "" &amp; 'Σύνοψη'!$I$2:$I289 &amp; "" ("" &amp; 'Σύνοψη'!$J"&amp;"$2:$J289 &amp; "")"", 'Σύνοψη'!$F$2:$F289=$A196, 'Σύνοψη'!$G$2:$G289=$B196, 'Σύνοψη'!$C$2:$C289=H$3)), IF(SUMPRODUCT(('Σύνοψη'!$F$2:$F289=$A196)*('Σύνοψη'!$C$2:$C289=H$3)*('Σύνοψη'!$G$2:$G289&lt;$B196)*('Σύνοψη'!$H$2:$H289&gt;$B196))&gt;0, CHAR(34), """") ), """")"),"Ακτινολογία - 14:00 - 17:00 (Νέες Αίθουσες)")</f>
        <v>Ακτινολογία - 14:00 - 17:00 (Νέες Αίθουσες)</v>
      </c>
      <c r="I196" s="3"/>
    </row>
    <row r="197" spans="1:9" s="100" customFormat="1" ht="30" x14ac:dyDescent="0.25">
      <c r="A197" s="95">
        <f t="shared" si="13"/>
        <v>46282</v>
      </c>
      <c r="B197" s="89">
        <v>0.625</v>
      </c>
      <c r="C197" s="67" t="str">
        <f ca="1">IFERROR(__xludf.DUMMYFUNCTION("IFERROR(IF(SUMPRODUCT(('Σύνοψη'!$F$2:$F289=$A197)*('Σύνοψη'!$C$2:$C289=C$3)*('Σύνοψη'!$G$2:$G289=$B197))&gt;0,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'Σύνοψη'!$C$2:$C289=C$3)), IF(SUMPRODUCT(('Σύνοψη'!$F$2:$F289=$A197)*('Σύνοψη'!$C$2:$C289=C$3)*('Σύνοψη'!$G$2:$G289&lt;$B197)*('Σύνοψη'!$H$2:$H289&gt;$B197))&gt;0, CHAR(34), """") ), """")"),"")</f>
        <v/>
      </c>
      <c r="D197" s="67" t="str">
        <f ca="1">IFERROR(__xludf.DUMMYFUNCTION("IFERROR(IF(SUMPRODUCT(('Σύνοψη'!$F$2:$F289=$A197)*('Σύνοψη'!$C$2:$C289=D$3)*('Σύνοψη'!$G$2:$G289=$B197))&gt;0,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'Σύνοψη'!$C$2:$C289=D$3)), IF(SUMPRODUCT(('Σύνοψη'!$F$2:$F289=$A197)*('Σύνοψη'!$C$2:$C289=D$3)*('Σύνοψη'!$G$2:$G289&lt;$B197)*('Σύνοψη'!$H$2:$H289&gt;$B197))&gt;0, CHAR(34), """") ), """")"),"Φυσιολογία ΙΙ - 15:00 - 18:00 (Αμφιθέατρα)")</f>
        <v>Φυσιολογία ΙΙ - 15:00 - 18:00 (Αμφιθέατρα)</v>
      </c>
      <c r="E197" s="67" t="str">
        <f ca="1">IFERROR(__xludf.DUMMYFUNCTION("IFERROR(IF(SUMPRODUCT(('Σύνοψη'!$F$2:$F289=$A197)*('Σύνοψη'!$C$2:$C289=E$3)*('Σύνοψη'!$G$2:$G289=$B197))&gt;0,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'Σύνοψη'!$C$2:$C289=E$3)), IF(SUMPRODUCT(('Σύνοψη'!$F$2:$F289=$A197)*('Σύνοψη'!$C$2:$C289=E$3)*('Σύνοψη'!$G$2:$G289&lt;$B197)*('Σύνοψη'!$H$2:$H289&gt;$B197))&gt;0, CHAR(34), """") ), """")"),"")</f>
        <v/>
      </c>
      <c r="F197" s="67" t="str">
        <f ca="1">IFERROR(__xludf.DUMMYFUNCTION("IFERROR(IF(SUMPRODUCT(('Σύνοψη'!$F$2:$F289=$A197)*('Σύνοψη'!$C$2:$C289=F$3)*('Σύνοψη'!$G$2:$G289=$B197))&gt;0,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'Σύνοψη'!$C$2:$C289=F$3)), IF(SUMPRODUCT(('Σύνοψη'!$F$2:$F289=$A197)*('Σύνοψη'!$C$2:$C289=F$3)*('Σύνοψη'!$G$2:$G289&lt;$B197)*('Σύνοψη'!$H$2:$H289&gt;$B197))&gt;0, CHAR(34), """") ), """")"),"""")</f>
        <v>"</v>
      </c>
      <c r="G197" s="67" t="str">
        <f ca="1">IFERROR(__xludf.DUMMYFUNCTION("IFERROR(IF(SUMPRODUCT(('Σύνοψη'!$F$2:$F289=$A197)*('Σύνοψη'!$C$2:$C289=G$3)*('Σύνοψη'!$G$2:$G289=$B197))&gt;0,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'Σύνοψη'!$C$2:$C289=G$3)), IF(SUMPRODUCT(('Σύνοψη'!$F$2:$F289=$A197)*('Σύνοψη'!$C$2:$C289=G$3)*('Σύνοψη'!$G$2:$G289&lt;$B197)*('Σύνοψη'!$H$2:$H289&gt;$B197))&gt;0, CHAR(34), """") ), """")"),"")</f>
        <v/>
      </c>
      <c r="H197" s="67" t="str">
        <f ca="1">IFERROR(__xludf.DUMMYFUNCTION("IFERROR(IF(SUMPRODUCT(('Σύνοψη'!$F$2:$F289=$A197)*('Σύνοψη'!$C$2:$C289=H$3)*('Σύνοψη'!$G$2:$G289=$B197))&gt;0, TEXTJOIN(CHAR(10) &amp; ""-----------------------"" &amp; CHAR(10), TRUE, FILTER('Σύνοψη'!$E$2:$E289 &amp; "" - "" &amp; 'Σύνοψη'!$I$2:$I289 &amp; "" ("" &amp; 'Σύνοψη'!$J"&amp;"$2:$J289 &amp; "")"", 'Σύνοψη'!$F$2:$F289=$A197, 'Σύνοψη'!$G$2:$G289=$B197, 'Σύνοψη'!$C$2:$C289=H$3)), IF(SUMPRODUCT(('Σύνοψη'!$F$2:$F289=$A197)*('Σύνοψη'!$C$2:$C289=H$3)*('Σύνοψη'!$G$2:$G289&lt;$B197)*('Σύνοψη'!$H$2:$H289&gt;$B197))&gt;0, CHAR(34), """") ), """")"),"""")</f>
        <v>"</v>
      </c>
      <c r="I197" s="3"/>
    </row>
    <row r="198" spans="1:9" s="100" customFormat="1" x14ac:dyDescent="0.25">
      <c r="A198" s="95">
        <f t="shared" si="13"/>
        <v>46282</v>
      </c>
      <c r="B198" s="89">
        <v>0.66666666666666663</v>
      </c>
      <c r="C198" s="67" t="str">
        <f ca="1">IFERROR(__xludf.DUMMYFUNCTION("IFERROR(IF(SUMPRODUCT(('Σύνοψη'!$F$2:$F289=$A198)*('Σύνοψη'!$C$2:$C289=C$3)*('Σύνοψη'!$G$2:$G289=$B198))&gt;0,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'Σύνοψη'!$C$2:$C289=C$3)), IF(SUMPRODUCT(('Σύνοψη'!$F$2:$F289=$A198)*('Σύνοψη'!$C$2:$C289=C$3)*('Σύνοψη'!$G$2:$G289&lt;$B198)*('Σύνοψη'!$H$2:$H289&gt;$B198))&gt;0, CHAR(34), """") ), """")"),"")</f>
        <v/>
      </c>
      <c r="D198" s="67" t="str">
        <f ca="1">IFERROR(__xludf.DUMMYFUNCTION("IFERROR(IF(SUMPRODUCT(('Σύνοψη'!$F$2:$F289=$A198)*('Σύνοψη'!$C$2:$C289=D$3)*('Σύνοψη'!$G$2:$G289=$B198))&gt;0,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'Σύνοψη'!$C$2:$C289=D$3)), IF(SUMPRODUCT(('Σύνοψη'!$F$2:$F289=$A198)*('Σύνοψη'!$C$2:$C289=D$3)*('Σύνοψη'!$G$2:$G289&lt;$B198)*('Σύνοψη'!$H$2:$H289&gt;$B198))&gt;0, CHAR(34), """") ), """")"),"""")</f>
        <v>"</v>
      </c>
      <c r="E198" s="67" t="str">
        <f ca="1">IFERROR(__xludf.DUMMYFUNCTION("IFERROR(IF(SUMPRODUCT(('Σύνοψη'!$F$2:$F289=$A198)*('Σύνοψη'!$C$2:$C289=E$3)*('Σύνοψη'!$G$2:$G289=$B198))&gt;0,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'Σύνοψη'!$C$2:$C289=E$3)), IF(SUMPRODUCT(('Σύνοψη'!$F$2:$F289=$A198)*('Σύνοψη'!$C$2:$C289=E$3)*('Σύνοψη'!$G$2:$G289&lt;$B198)*('Σύνοψη'!$H$2:$H289&gt;$B198))&gt;0, CHAR(34), """") ), """")"),"")</f>
        <v/>
      </c>
      <c r="F198" s="67" t="str">
        <f ca="1">IFERROR(__xludf.DUMMYFUNCTION("IFERROR(IF(SUMPRODUCT(('Σύνοψη'!$F$2:$F289=$A198)*('Σύνοψη'!$C$2:$C289=F$3)*('Σύνοψη'!$G$2:$G289=$B198))&gt;0,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'Σύνοψη'!$C$2:$C289=F$3)), IF(SUMPRODUCT(('Σύνοψη'!$F$2:$F289=$A198)*('Σύνοψη'!$C$2:$C289=F$3)*('Σύνοψη'!$G$2:$G289&lt;$B198)*('Σύνοψη'!$H$2:$H289&gt;$B198))&gt;0, CHAR(34), """") ), """")"),"""")</f>
        <v>"</v>
      </c>
      <c r="G198" s="67" t="str">
        <f ca="1">IFERROR(__xludf.DUMMYFUNCTION("IFERROR(IF(SUMPRODUCT(('Σύνοψη'!$F$2:$F289=$A198)*('Σύνοψη'!$C$2:$C289=G$3)*('Σύνοψη'!$G$2:$G289=$B198))&gt;0,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'Σύνοψη'!$C$2:$C289=G$3)), IF(SUMPRODUCT(('Σύνοψη'!$F$2:$F289=$A198)*('Σύνοψη'!$C$2:$C289=G$3)*('Σύνοψη'!$G$2:$G289&lt;$B198)*('Σύνοψη'!$H$2:$H289&gt;$B198))&gt;0, CHAR(34), """") ), """")"),"")</f>
        <v/>
      </c>
      <c r="H198" s="67" t="str">
        <f ca="1">IFERROR(__xludf.DUMMYFUNCTION("IFERROR(IF(SUMPRODUCT(('Σύνοψη'!$F$2:$F289=$A198)*('Σύνοψη'!$C$2:$C289=H$3)*('Σύνοψη'!$G$2:$G289=$B198))&gt;0, TEXTJOIN(CHAR(10) &amp; ""-----------------------"" &amp; CHAR(10), TRUE, FILTER('Σύνοψη'!$E$2:$E289 &amp; "" - "" &amp; 'Σύνοψη'!$I$2:$I289 &amp; "" ("" &amp; 'Σύνοψη'!$J"&amp;"$2:$J289 &amp; "")"", 'Σύνοψη'!$F$2:$F289=$A198, 'Σύνοψη'!$G$2:$G289=$B198, 'Σύνοψη'!$C$2:$C289=H$3)), IF(SUMPRODUCT(('Σύνοψη'!$F$2:$F289=$A198)*('Σύνοψη'!$C$2:$C289=H$3)*('Σύνοψη'!$G$2:$G289&lt;$B198)*('Σύνοψη'!$H$2:$H289&gt;$B198))&gt;0, CHAR(34), """") ), """")"),"""")</f>
        <v>"</v>
      </c>
      <c r="I198" s="3"/>
    </row>
    <row r="199" spans="1:9" s="100" customFormat="1" ht="45" x14ac:dyDescent="0.25">
      <c r="A199" s="95">
        <f t="shared" si="13"/>
        <v>46282</v>
      </c>
      <c r="B199" s="89">
        <v>0.70833333333333337</v>
      </c>
      <c r="C199" s="67" t="str">
        <f ca="1">IFERROR(__xludf.DUMMYFUNCTION("IFERROR(IF(SUMPRODUCT(('Σύνοψη'!$F$2:$F289=$A199)*('Σύνοψη'!$C$2:$C289=C$3)*('Σύνοψη'!$G$2:$G289=$B199))&gt;0,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'Σύνοψη'!$C$2:$C289=C$3)), IF(SUMPRODUCT(('Σύνοψη'!$F$2:$F289=$A199)*('Σύνοψη'!$C$2:$C289=C$3)*('Σύνοψη'!$G$2:$G289&lt;$B199)*('Σύνοψη'!$H$2:$H289&gt;$B199))&gt;0, CHAR(34), """") ), """")"),"")</f>
        <v/>
      </c>
      <c r="D199" s="67" t="str">
        <f ca="1">IFERROR(__xludf.DUMMYFUNCTION("IFERROR(IF(SUMPRODUCT(('Σύνοψη'!$F$2:$F289=$A199)*('Σύνοψη'!$C$2:$C289=D$3)*('Σύνοψη'!$G$2:$G289=$B199))&gt;0,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'Σύνοψη'!$C$2:$C289=D$3)), IF(SUMPRODUCT(('Σύνοψη'!$F$2:$F289=$A199)*('Σύνοψη'!$C$2:$C289=D$3)*('Σύνοψη'!$G$2:$G289&lt;$B199)*('Σύνοψη'!$H$2:$H289&gt;$B199))&gt;0, CHAR(34), """") ), """")"),"""")</f>
        <v>"</v>
      </c>
      <c r="E199" s="67" t="str">
        <f ca="1">IFERROR(__xludf.DUMMYFUNCTION("IFERROR(IF(SUMPRODUCT(('Σύνοψη'!$F$2:$F289=$A199)*('Σύνοψη'!$C$2:$C289=E$3)*('Σύνοψη'!$G$2:$G289=$B199))&gt;0,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'Σύνοψη'!$C$2:$C289=E$3)), IF(SUMPRODUCT(('Σύνοψη'!$F$2:$F289=$A199)*('Σύνοψη'!$C$2:$C289=E$3)*('Σύνοψη'!$G$2:$G289&lt;$B199)*('Σύνοψη'!$H$2:$H289&gt;$B199))&gt;0, CHAR(34), """") ), """")"),"Λοιμώδη Νοσήματα &amp; Σχετική Νομοθεσία ΙΙ - 17:00 - 20:00 (Νέες Αίθουσες)")</f>
        <v>Λοιμώδη Νοσήματα &amp; Σχετική Νομοθεσία ΙΙ - 17:00 - 20:00 (Νέες Αίθουσες)</v>
      </c>
      <c r="F199" s="67" t="str">
        <f ca="1">IFERROR(__xludf.DUMMYFUNCTION("IFERROR(IF(SUMPRODUCT(('Σύνοψη'!$F$2:$F289=$A199)*('Σύνοψη'!$C$2:$C289=F$3)*('Σύνοψη'!$G$2:$G289=$B199))&gt;0,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'Σύνοψη'!$C$2:$C289=F$3)), IF(SUMPRODUCT(('Σύνοψη'!$F$2:$F289=$A199)*('Σύνοψη'!$C$2:$C289=F$3)*('Σύνοψη'!$G$2:$G289&lt;$B199)*('Σύνοψη'!$H$2:$H289&gt;$B199))&gt;0, CHAR(34), """") ), """")"),"")</f>
        <v/>
      </c>
      <c r="G199" s="67" t="str">
        <f ca="1">IFERROR(__xludf.DUMMYFUNCTION("IFERROR(IF(SUMPRODUCT(('Σύνοψη'!$F$2:$F289=$A199)*('Σύνοψη'!$C$2:$C289=G$3)*('Σύνοψη'!$G$2:$G289=$B199))&gt;0,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'Σύνοψη'!$C$2:$C289=G$3)), IF(SUMPRODUCT(('Σύνοψη'!$F$2:$F289=$A199)*('Σύνοψη'!$C$2:$C289=G$3)*('Σύνοψη'!$G$2:$G289&lt;$B199)*('Σύνοψη'!$H$2:$H289&gt;$B199))&gt;0, CHAR(34), """") ), """")"),"")</f>
        <v/>
      </c>
      <c r="H199" s="67" t="str">
        <f ca="1">IFERROR(__xludf.DUMMYFUNCTION("IFERROR(IF(SUMPRODUCT(('Σύνοψη'!$F$2:$F289=$A199)*('Σύνοψη'!$C$2:$C289=H$3)*('Σύνοψη'!$G$2:$G289=$B199))&gt;0, TEXTJOIN(CHAR(10) &amp; ""-----------------------"" &amp; CHAR(10), TRUE, FILTER('Σύνοψη'!$E$2:$E289 &amp; "" - "" &amp; 'Σύνοψη'!$I$2:$I289 &amp; "" ("" &amp; 'Σύνοψη'!$J"&amp;"$2:$J289 &amp; "")"", 'Σύνοψη'!$F$2:$F289=$A199, 'Σύνοψη'!$G$2:$G289=$B199, 'Σύνοψη'!$C$2:$C289=H$3)), IF(SUMPRODUCT(('Σύνοψη'!$F$2:$F289=$A199)*('Σύνοψη'!$C$2:$C289=H$3)*('Σύνοψη'!$G$2:$G289&lt;$B199)*('Σύνοψη'!$H$2:$H289&gt;$B199))&gt;0, CHAR(34), """") ), """")"),"")</f>
        <v/>
      </c>
      <c r="I199" s="3"/>
    </row>
    <row r="200" spans="1:9" s="100" customFormat="1" x14ac:dyDescent="0.25">
      <c r="A200" s="95">
        <f t="shared" si="13"/>
        <v>46282</v>
      </c>
      <c r="B200" s="89">
        <v>0.75</v>
      </c>
      <c r="C200" s="67" t="str">
        <f ca="1">IFERROR(__xludf.DUMMYFUNCTION("IFERROR(IF(SUMPRODUCT(('Σύνοψη'!$F$2:$F289=$A200)*('Σύνοψη'!$C$2:$C289=C$3)*('Σύνοψη'!$G$2:$G289=$B200))&gt;0,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'Σύνοψη'!$C$2:$C289=C$3)), IF(SUMPRODUCT(('Σύνοψη'!$F$2:$F289=$A200)*('Σύνοψη'!$C$2:$C289=C$3)*('Σύνοψη'!$G$2:$G289&lt;$B200)*('Σύνοψη'!$H$2:$H289&gt;$B200))&gt;0, CHAR(34), """") ), """")"),"")</f>
        <v/>
      </c>
      <c r="D200" s="67" t="str">
        <f ca="1">IFERROR(__xludf.DUMMYFUNCTION("IFERROR(IF(SUMPRODUCT(('Σύνοψη'!$F$2:$F289=$A200)*('Σύνοψη'!$C$2:$C289=D$3)*('Σύνοψη'!$G$2:$G289=$B200))&gt;0,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'Σύνοψη'!$C$2:$C289=D$3)), IF(SUMPRODUCT(('Σύνοψη'!$F$2:$F289=$A200)*('Σύνοψη'!$C$2:$C289=D$3)*('Σύνοψη'!$G$2:$G289&lt;$B200)*('Σύνοψη'!$H$2:$H289&gt;$B200))&gt;0, CHAR(34), """") ), """")"),"")</f>
        <v/>
      </c>
      <c r="E200" s="67" t="str">
        <f ca="1">IFERROR(__xludf.DUMMYFUNCTION("IFERROR(IF(SUMPRODUCT(('Σύνοψη'!$F$2:$F289=$A200)*('Σύνοψη'!$C$2:$C289=E$3)*('Σύνοψη'!$G$2:$G289=$B200))&gt;0,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'Σύνοψη'!$C$2:$C289=E$3)), IF(SUMPRODUCT(('Σύνοψη'!$F$2:$F289=$A200)*('Σύνοψη'!$C$2:$C289=E$3)*('Σύνοψη'!$G$2:$G289&lt;$B200)*('Σύνοψη'!$H$2:$H289&gt;$B200))&gt;0, CHAR(34), """") ), """")"),"""")</f>
        <v>"</v>
      </c>
      <c r="F200" s="67" t="str">
        <f ca="1">IFERROR(__xludf.DUMMYFUNCTION("IFERROR(IF(SUMPRODUCT(('Σύνοψη'!$F$2:$F289=$A200)*('Σύνοψη'!$C$2:$C289=F$3)*('Σύνοψη'!$G$2:$G289=$B200))&gt;0,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'Σύνοψη'!$C$2:$C289=F$3)), IF(SUMPRODUCT(('Σύνοψη'!$F$2:$F289=$A200)*('Σύνοψη'!$C$2:$C289=F$3)*('Σύνοψη'!$G$2:$G289&lt;$B200)*('Σύνοψη'!$H$2:$H289&gt;$B200))&gt;0, CHAR(34), """") ), """")"),"")</f>
        <v/>
      </c>
      <c r="G200" s="67" t="str">
        <f ca="1">IFERROR(__xludf.DUMMYFUNCTION("IFERROR(IF(SUMPRODUCT(('Σύνοψη'!$F$2:$F289=$A200)*('Σύνοψη'!$C$2:$C289=G$3)*('Σύνοψη'!$G$2:$G289=$B200))&gt;0,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'Σύνοψη'!$C$2:$C289=G$3)), IF(SUMPRODUCT(('Σύνοψη'!$F$2:$F289=$A200)*('Σύνοψη'!$C$2:$C289=G$3)*('Σύνοψη'!$G$2:$G289&lt;$B200)*('Σύνοψη'!$H$2:$H289&gt;$B200))&gt;0, CHAR(34), """") ), """")"),"")</f>
        <v/>
      </c>
      <c r="H200" s="67" t="str">
        <f ca="1">IFERROR(__xludf.DUMMYFUNCTION("IFERROR(IF(SUMPRODUCT(('Σύνοψη'!$F$2:$F289=$A200)*('Σύνοψη'!$C$2:$C289=H$3)*('Σύνοψη'!$G$2:$G289=$B200))&gt;0, TEXTJOIN(CHAR(10) &amp; ""-----------------------"" &amp; CHAR(10), TRUE, FILTER('Σύνοψη'!$E$2:$E289 &amp; "" - "" &amp; 'Σύνοψη'!$I$2:$I289 &amp; "" ("" &amp; 'Σύνοψη'!$J"&amp;"$2:$J289 &amp; "")"", 'Σύνοψη'!$F$2:$F289=$A200, 'Σύνοψη'!$G$2:$G289=$B200, 'Σύνοψη'!$C$2:$C289=H$3)), IF(SUMPRODUCT(('Σύνοψη'!$F$2:$F289=$A200)*('Σύνοψη'!$C$2:$C289=H$3)*('Σύνοψη'!$G$2:$G289&lt;$B200)*('Σύνοψη'!$H$2:$H289&gt;$B200))&gt;0, CHAR(34), """") ), """")"),"")</f>
        <v/>
      </c>
      <c r="I200" s="3"/>
    </row>
    <row r="201" spans="1:9" s="100" customFormat="1" x14ac:dyDescent="0.25">
      <c r="A201" s="95">
        <f t="shared" si="13"/>
        <v>46282</v>
      </c>
      <c r="B201" s="89">
        <v>0.79166666666666663</v>
      </c>
      <c r="C201" s="67" t="str">
        <f ca="1">IFERROR(__xludf.DUMMYFUNCTION("IFERROR(IF(SUMPRODUCT(('Σύνοψη'!$F$2:$F289=$A201)*('Σύνοψη'!$C$2:$C289=C$3)*('Σύνοψη'!$G$2:$G289=$B201))&gt;0,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'Σύνοψη'!$C$2:$C289=C$3)), IF(SUMPRODUCT(('Σύνοψη'!$F$2:$F289=$A201)*('Σύνοψη'!$C$2:$C289=C$3)*('Σύνοψη'!$G$2:$G289&lt;$B201)*('Σύνοψη'!$H$2:$H289&gt;$B201))&gt;0, CHAR(34), """") ), """")"),"")</f>
        <v/>
      </c>
      <c r="D201" s="67" t="str">
        <f ca="1">IFERROR(__xludf.DUMMYFUNCTION("IFERROR(IF(SUMPRODUCT(('Σύνοψη'!$F$2:$F289=$A201)*('Σύνοψη'!$C$2:$C289=D$3)*('Σύνοψη'!$G$2:$G289=$B201))&gt;0,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'Σύνοψη'!$C$2:$C289=D$3)), IF(SUMPRODUCT(('Σύνοψη'!$F$2:$F289=$A201)*('Σύνοψη'!$C$2:$C289=D$3)*('Σύνοψη'!$G$2:$G289&lt;$B201)*('Σύνοψη'!$H$2:$H289&gt;$B201))&gt;0, CHAR(34), """") ), """")"),"")</f>
        <v/>
      </c>
      <c r="E201" s="67" t="str">
        <f ca="1">IFERROR(__xludf.DUMMYFUNCTION("IFERROR(IF(SUMPRODUCT(('Σύνοψη'!$F$2:$F289=$A201)*('Σύνοψη'!$C$2:$C289=E$3)*('Σύνοψη'!$G$2:$G289=$B201))&gt;0,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'Σύνοψη'!$C$2:$C289=E$3)), IF(SUMPRODUCT(('Σύνοψη'!$F$2:$F289=$A201)*('Σύνοψη'!$C$2:$C289=E$3)*('Σύνοψη'!$G$2:$G289&lt;$B201)*('Σύνοψη'!$H$2:$H289&gt;$B201))&gt;0, CHAR(34), """") ), """")"),"""")</f>
        <v>"</v>
      </c>
      <c r="F201" s="67" t="str">
        <f ca="1">IFERROR(__xludf.DUMMYFUNCTION("IFERROR(IF(SUMPRODUCT(('Σύνοψη'!$F$2:$F289=$A201)*('Σύνοψη'!$C$2:$C289=F$3)*('Σύνοψη'!$G$2:$G289=$B201))&gt;0,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'Σύνοψη'!$C$2:$C289=F$3)), IF(SUMPRODUCT(('Σύνοψη'!$F$2:$F289=$A201)*('Σύνοψη'!$C$2:$C289=F$3)*('Σύνοψη'!$G$2:$G289&lt;$B201)*('Σύνοψη'!$H$2:$H289&gt;$B201))&gt;0, CHAR(34), """") ), """")"),"")</f>
        <v/>
      </c>
      <c r="G201" s="67" t="str">
        <f ca="1">IFERROR(__xludf.DUMMYFUNCTION("IFERROR(IF(SUMPRODUCT(('Σύνοψη'!$F$2:$F289=$A201)*('Σύνοψη'!$C$2:$C289=G$3)*('Σύνοψη'!$G$2:$G289=$B201))&gt;0,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'Σύνοψη'!$C$2:$C289=G$3)), IF(SUMPRODUCT(('Σύνοψη'!$F$2:$F289=$A201)*('Σύνοψη'!$C$2:$C289=G$3)*('Σύνοψη'!$G$2:$G289&lt;$B201)*('Σύνοψη'!$H$2:$H289&gt;$B201))&gt;0, CHAR(34), """") ), """")"),"")</f>
        <v/>
      </c>
      <c r="H201" s="67" t="str">
        <f ca="1">IFERROR(__xludf.DUMMYFUNCTION("IFERROR(IF(SUMPRODUCT(('Σύνοψη'!$F$2:$F289=$A201)*('Σύνοψη'!$C$2:$C289=H$3)*('Σύνοψη'!$G$2:$G289=$B201))&gt;0, TEXTJOIN(CHAR(10) &amp; ""-----------------------"" &amp; CHAR(10), TRUE, FILTER('Σύνοψη'!$E$2:$E289 &amp; "" - "" &amp; 'Σύνοψη'!$I$2:$I289 &amp; "" ("" &amp; 'Σύνοψη'!$J"&amp;"$2:$J289 &amp; "")"", 'Σύνοψη'!$F$2:$F289=$A201, 'Σύνοψη'!$G$2:$G289=$B201, 'Σύνοψη'!$C$2:$C289=H$3)), IF(SUMPRODUCT(('Σύνοψη'!$F$2:$F289=$A201)*('Σύνοψη'!$C$2:$C289=H$3)*('Σύνοψη'!$G$2:$G289&lt;$B201)*('Σύνοψη'!$H$2:$H289&gt;$B201))&gt;0, CHAR(34), """") ), """")"),"")</f>
        <v/>
      </c>
      <c r="I201" s="3"/>
    </row>
    <row r="202" spans="1:9" s="100" customFormat="1" x14ac:dyDescent="0.25">
      <c r="A202" s="95">
        <f t="shared" si="13"/>
        <v>46282</v>
      </c>
      <c r="B202" s="89">
        <v>0.83333333333333337</v>
      </c>
      <c r="C202" s="67" t="str">
        <f ca="1">IFERROR(__xludf.DUMMYFUNCTION("IFERROR(IF(SUMPRODUCT(('Σύνοψη'!$F$2:$F289=$A202)*('Σύνοψη'!$C$2:$C289=C$3)*('Σύνοψη'!$G$2:$G289=$B202))&gt;0,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'Σύνοψη'!$C$2:$C289=C$3)), IF(SUMPRODUCT(('Σύνοψη'!$F$2:$F289=$A202)*('Σύνοψη'!$C$2:$C289=C$3)*('Σύνοψη'!$G$2:$G289&lt;$B202)*('Σύνοψη'!$H$2:$H289&gt;$B202))&gt;0, CHAR(34), """") ), """")"),"")</f>
        <v/>
      </c>
      <c r="D202" s="67" t="str">
        <f ca="1">IFERROR(__xludf.DUMMYFUNCTION("IFERROR(IF(SUMPRODUCT(('Σύνοψη'!$F$2:$F289=$A202)*('Σύνοψη'!$C$2:$C289=D$3)*('Σύνοψη'!$G$2:$G289=$B202))&gt;0,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'Σύνοψη'!$C$2:$C289=D$3)), IF(SUMPRODUCT(('Σύνοψη'!$F$2:$F289=$A202)*('Σύνοψη'!$C$2:$C289=D$3)*('Σύνοψη'!$G$2:$G289&lt;$B202)*('Σύνοψη'!$H$2:$H289&gt;$B202))&gt;0, CHAR(34), """") ), """")"),"")</f>
        <v/>
      </c>
      <c r="E202" s="67" t="str">
        <f ca="1">IFERROR(__xludf.DUMMYFUNCTION("IFERROR(IF(SUMPRODUCT(('Σύνοψη'!$F$2:$F289=$A202)*('Σύνοψη'!$C$2:$C289=E$3)*('Σύνοψη'!$G$2:$G289=$B202))&gt;0,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'Σύνοψη'!$C$2:$C289=E$3)), IF(SUMPRODUCT(('Σύνοψη'!$F$2:$F289=$A202)*('Σύνοψη'!$C$2:$C289=E$3)*('Σύνοψη'!$G$2:$G289&lt;$B202)*('Σύνοψη'!$H$2:$H289&gt;$B202))&gt;0, CHAR(34), """") ), """")"),"")</f>
        <v/>
      </c>
      <c r="F202" s="67" t="str">
        <f ca="1">IFERROR(__xludf.DUMMYFUNCTION("IFERROR(IF(SUMPRODUCT(('Σύνοψη'!$F$2:$F289=$A202)*('Σύνοψη'!$C$2:$C289=F$3)*('Σύνοψη'!$G$2:$G289=$B202))&gt;0,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'Σύνοψη'!$C$2:$C289=F$3)), IF(SUMPRODUCT(('Σύνοψη'!$F$2:$F289=$A202)*('Σύνοψη'!$C$2:$C289=F$3)*('Σύνοψη'!$G$2:$G289&lt;$B202)*('Σύνοψη'!$H$2:$H289&gt;$B202))&gt;0, CHAR(34), """") ), """")"),"")</f>
        <v/>
      </c>
      <c r="G202" s="67" t="str">
        <f ca="1">IFERROR(__xludf.DUMMYFUNCTION("IFERROR(IF(SUMPRODUCT(('Σύνοψη'!$F$2:$F289=$A202)*('Σύνοψη'!$C$2:$C289=G$3)*('Σύνοψη'!$G$2:$G289=$B202))&gt;0,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'Σύνοψη'!$C$2:$C289=G$3)), IF(SUMPRODUCT(('Σύνοψη'!$F$2:$F289=$A202)*('Σύνοψη'!$C$2:$C289=G$3)*('Σύνοψη'!$G$2:$G289&lt;$B202)*('Σύνοψη'!$H$2:$H289&gt;$B202))&gt;0, CHAR(34), """") ), """")"),"")</f>
        <v/>
      </c>
      <c r="H202" s="67" t="str">
        <f ca="1">IFERROR(__xludf.DUMMYFUNCTION("IFERROR(IF(SUMPRODUCT(('Σύνοψη'!$F$2:$F289=$A202)*('Σύνοψη'!$C$2:$C289=H$3)*('Σύνοψη'!$G$2:$G289=$B202))&gt;0, TEXTJOIN(CHAR(10) &amp; ""-----------------------"" &amp; CHAR(10), TRUE, FILTER('Σύνοψη'!$E$2:$E289 &amp; "" - "" &amp; 'Σύνοψη'!$I$2:$I289 &amp; "" ("" &amp; 'Σύνοψη'!$J"&amp;"$2:$J289 &amp; "")"", 'Σύνοψη'!$F$2:$F289=$A202, 'Σύνοψη'!$G$2:$G289=$B202, 'Σύνοψη'!$C$2:$C289=H$3)), IF(SUMPRODUCT(('Σύνοψη'!$F$2:$F289=$A202)*('Σύνοψη'!$C$2:$C289=H$3)*('Σύνοψη'!$G$2:$G289&lt;$B202)*('Σύνοψη'!$H$2:$H289&gt;$B202))&gt;0, CHAR(34), """") ), """")"),"")</f>
        <v/>
      </c>
      <c r="I202" s="3"/>
    </row>
    <row r="203" spans="1:9" s="100" customFormat="1" x14ac:dyDescent="0.25">
      <c r="A203" s="95">
        <f t="shared" si="13"/>
        <v>46282</v>
      </c>
      <c r="B203" s="89">
        <v>0.875</v>
      </c>
      <c r="C203" s="67" t="str">
        <f ca="1">IFERROR(__xludf.DUMMYFUNCTION("IFERROR(IF(SUMPRODUCT(('Σύνοψη'!$F$2:$F289=$A203)*('Σύνοψη'!$C$2:$C289=C$3)*('Σύνοψη'!$G$2:$G289=$B203))&gt;0,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'Σύνοψη'!$C$2:$C289=C$3)), IF(SUMPRODUCT(('Σύνοψη'!$F$2:$F289=$A203)*('Σύνοψη'!$C$2:$C289=C$3)*('Σύνοψη'!$G$2:$G289&lt;$B203)*('Σύνοψη'!$H$2:$H289&gt;$B203))&gt;0, CHAR(34), """") ), """")"),"")</f>
        <v/>
      </c>
      <c r="D203" s="67" t="str">
        <f ca="1">IFERROR(__xludf.DUMMYFUNCTION("IFERROR(IF(SUMPRODUCT(('Σύνοψη'!$F$2:$F289=$A203)*('Σύνοψη'!$C$2:$C289=D$3)*('Σύνοψη'!$G$2:$G289=$B203))&gt;0,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'Σύνοψη'!$C$2:$C289=D$3)), IF(SUMPRODUCT(('Σύνοψη'!$F$2:$F289=$A203)*('Σύνοψη'!$C$2:$C289=D$3)*('Σύνοψη'!$G$2:$G289&lt;$B203)*('Σύνοψη'!$H$2:$H289&gt;$B203))&gt;0, CHAR(34), """") ), """")"),"")</f>
        <v/>
      </c>
      <c r="E203" s="67" t="str">
        <f ca="1">IFERROR(__xludf.DUMMYFUNCTION("IFERROR(IF(SUMPRODUCT(('Σύνοψη'!$F$2:$F289=$A203)*('Σύνοψη'!$C$2:$C289=E$3)*('Σύνοψη'!$G$2:$G289=$B203))&gt;0,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'Σύνοψη'!$C$2:$C289=E$3)), IF(SUMPRODUCT(('Σύνοψη'!$F$2:$F289=$A203)*('Σύνοψη'!$C$2:$C289=E$3)*('Σύνοψη'!$G$2:$G289&lt;$B203)*('Σύνοψη'!$H$2:$H289&gt;$B203))&gt;0, CHAR(34), """") ), """")"),"")</f>
        <v/>
      </c>
      <c r="F203" s="67" t="str">
        <f ca="1">IFERROR(__xludf.DUMMYFUNCTION("IFERROR(IF(SUMPRODUCT(('Σύνοψη'!$F$2:$F289=$A203)*('Σύνοψη'!$C$2:$C289=F$3)*('Σύνοψη'!$G$2:$G289=$B203))&gt;0,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'Σύνοψη'!$C$2:$C289=F$3)), IF(SUMPRODUCT(('Σύνοψη'!$F$2:$F289=$A203)*('Σύνοψη'!$C$2:$C289=F$3)*('Σύνοψη'!$G$2:$G289&lt;$B203)*('Σύνοψη'!$H$2:$H289&gt;$B203))&gt;0, CHAR(34), """") ), """")"),"")</f>
        <v/>
      </c>
      <c r="G203" s="67" t="str">
        <f ca="1">IFERROR(__xludf.DUMMYFUNCTION("IFERROR(IF(SUMPRODUCT(('Σύνοψη'!$F$2:$F289=$A203)*('Σύνοψη'!$C$2:$C289=G$3)*('Σύνοψη'!$G$2:$G289=$B203))&gt;0,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'Σύνοψη'!$C$2:$C289=G$3)), IF(SUMPRODUCT(('Σύνοψη'!$F$2:$F289=$A203)*('Σύνοψη'!$C$2:$C289=G$3)*('Σύνοψη'!$G$2:$G289&lt;$B203)*('Σύνοψη'!$H$2:$H289&gt;$B203))&gt;0, CHAR(34), """") ), """")"),"")</f>
        <v/>
      </c>
      <c r="H203" s="67" t="str">
        <f ca="1">IFERROR(__xludf.DUMMYFUNCTION("IFERROR(IF(SUMPRODUCT(('Σύνοψη'!$F$2:$F289=$A203)*('Σύνοψη'!$C$2:$C289=H$3)*('Σύνοψη'!$G$2:$G289=$B203))&gt;0, TEXTJOIN(CHAR(10) &amp; ""-----------------------"" &amp; CHAR(10), TRUE, FILTER('Σύνοψη'!$E$2:$E289 &amp; "" - "" &amp; 'Σύνοψη'!$I$2:$I289 &amp; "" ("" &amp; 'Σύνοψη'!$J"&amp;"$2:$J289 &amp; "")"", 'Σύνοψη'!$F$2:$F289=$A203, 'Σύνοψη'!$G$2:$G289=$B203, 'Σύνοψη'!$C$2:$C289=H$3)), IF(SUMPRODUCT(('Σύνοψη'!$F$2:$F289=$A203)*('Σύνοψη'!$C$2:$C289=H$3)*('Σύνοψη'!$G$2:$G289&lt;$B203)*('Σύνοψη'!$H$2:$H289&gt;$B203))&gt;0, CHAR(34), """") ), """")"),"")</f>
        <v/>
      </c>
      <c r="I203" s="3"/>
    </row>
    <row r="204" spans="1:9" s="100" customFormat="1" x14ac:dyDescent="0.25">
      <c r="A204" s="93">
        <f>$D$1+18</f>
        <v>46283</v>
      </c>
      <c r="B204" s="94">
        <v>0.33333333333333331</v>
      </c>
      <c r="C204" s="66" t="str">
        <f ca="1">IFERROR(__xludf.DUMMYFUNCTION("IFERROR(IF(SUMPRODUCT(('Σύνοψη'!$F$2:$F289=$A204)*('Σύνοψη'!$C$2:$C289=C$3)*('Σύνοψη'!$G$2:$G289=$B204))&gt;0,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'Σύνοψη'!$C$2:$C289=C$3)), IF(SUMPRODUCT(('Σύνοψη'!$F$2:$F289=$A204)*('Σύνοψη'!$C$2:$C289=C$3)*('Σύνοψη'!$G$2:$G289&lt;$B204)*('Σύνοψη'!$H$2:$H289&gt;$B204))&gt;0, CHAR(34), """") ), """")"),"")</f>
        <v/>
      </c>
      <c r="D204" s="66" t="str">
        <f ca="1">IFERROR(__xludf.DUMMYFUNCTION("IFERROR(IF(SUMPRODUCT(('Σύνοψη'!$F$2:$F289=$A204)*('Σύνοψη'!$C$2:$C289=D$3)*('Σύνοψη'!$G$2:$G289=$B204))&gt;0,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'Σύνοψη'!$C$2:$C289=D$3)), IF(SUMPRODUCT(('Σύνοψη'!$F$2:$F289=$A204)*('Σύνοψη'!$C$2:$C289=D$3)*('Σύνοψη'!$G$2:$G289&lt;$B204)*('Σύνοψη'!$H$2:$H289&gt;$B204))&gt;0, CHAR(34), """") ), """")"),"")</f>
        <v/>
      </c>
      <c r="E204" s="66" t="str">
        <f ca="1">IFERROR(__xludf.DUMMYFUNCTION("IFERROR(IF(SUMPRODUCT(('Σύνοψη'!$F$2:$F289=$A204)*('Σύνοψη'!$C$2:$C289=E$3)*('Σύνοψη'!$G$2:$G289=$B204))&gt;0,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'Σύνοψη'!$C$2:$C289=E$3)), IF(SUMPRODUCT(('Σύνοψη'!$F$2:$F289=$A204)*('Σύνοψη'!$C$2:$C289=E$3)*('Σύνοψη'!$G$2:$G289&lt;$B204)*('Σύνοψη'!$H$2:$H289&gt;$B204))&gt;0, CHAR(34), """") ), """")"),"")</f>
        <v/>
      </c>
      <c r="F204" s="66" t="str">
        <f ca="1">IFERROR(__xludf.DUMMYFUNCTION("IFERROR(IF(SUMPRODUCT(('Σύνοψη'!$F$2:$F289=$A204)*('Σύνοψη'!$C$2:$C289=F$3)*('Σύνοψη'!$G$2:$G289=$B204))&gt;0,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'Σύνοψη'!$C$2:$C289=F$3)), IF(SUMPRODUCT(('Σύνοψη'!$F$2:$F289=$A204)*('Σύνοψη'!$C$2:$C289=F$3)*('Σύνοψη'!$G$2:$G289&lt;$B204)*('Σύνοψη'!$H$2:$H289&gt;$B204))&gt;0, CHAR(34), """") ), """")"),"")</f>
        <v/>
      </c>
      <c r="G204" s="66" t="str">
        <f ca="1">IFERROR(__xludf.DUMMYFUNCTION("IFERROR(IF(SUMPRODUCT(('Σύνοψη'!$F$2:$F289=$A204)*('Σύνοψη'!$C$2:$C289=G$3)*('Σύνοψη'!$G$2:$G289=$B204))&gt;0,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'Σύνοψη'!$C$2:$C289=G$3)), IF(SUMPRODUCT(('Σύνοψη'!$F$2:$F289=$A204)*('Σύνοψη'!$C$2:$C289=G$3)*('Σύνοψη'!$G$2:$G289&lt;$B204)*('Σύνοψη'!$H$2:$H289&gt;$B204))&gt;0, CHAR(34), """") ), """")"),"")</f>
        <v/>
      </c>
      <c r="H204" s="66" t="str">
        <f ca="1">IFERROR(__xludf.DUMMYFUNCTION("IFERROR(IF(SUMPRODUCT(('Σύνοψη'!$F$2:$F289=$A204)*('Σύνοψη'!$C$2:$C289=H$3)*('Σύνοψη'!$G$2:$G289=$B204))&gt;0, TEXTJOIN(CHAR(10) &amp; ""-----------------------"" &amp; CHAR(10), TRUE, FILTER('Σύνοψη'!$E$2:$E289 &amp; "" - "" &amp; 'Σύνοψη'!$I$2:$I289 &amp; "" ("" &amp; 'Σύνοψη'!$J"&amp;"$2:$J289 &amp; "")"", 'Σύνοψη'!$F$2:$F289=$A204, 'Σύνοψη'!$G$2:$G289=$B204, 'Σύνοψη'!$C$2:$C289=H$3)), IF(SUMPRODUCT(('Σύνοψη'!$F$2:$F289=$A204)*('Σύνοψη'!$C$2:$C289=H$3)*('Σύνοψη'!$G$2:$G289&lt;$B204)*('Σύνοψη'!$H$2:$H289&gt;$B204))&gt;0, CHAR(34), """") ), """")"),"")</f>
        <v/>
      </c>
      <c r="I204" s="3"/>
    </row>
    <row r="205" spans="1:9" s="100" customFormat="1" ht="60" x14ac:dyDescent="0.25">
      <c r="A205" s="95">
        <f t="shared" ref="A205:A217" si="14">$A$204</f>
        <v>46283</v>
      </c>
      <c r="B205" s="89">
        <v>0.375</v>
      </c>
      <c r="C205" s="67" t="str">
        <f ca="1">IFERROR(__xludf.DUMMYFUNCTION("IFERROR(IF(SUMPRODUCT(('Σύνοψη'!$F$2:$F289=$A205)*('Σύνοψη'!$C$2:$C289=C$3)*('Σύνοψη'!$G$2:$G289=$B205))&gt;0,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'Σύνοψη'!$C$2:$C289=C$3)), IF(SUMPRODUCT(('Σύνοψη'!$F$2:$F289=$A205)*('Σύνοψη'!$C$2:$C289=C$3)*('Σύνοψη'!$G$2:$G289&lt;$B205)*('Σύνοψη'!$H$2:$H289&gt;$B205))&gt;0, CHAR(34), """") ), """")"),"")</f>
        <v/>
      </c>
      <c r="D205" s="67" t="str">
        <f ca="1">IFERROR(__xludf.DUMMYFUNCTION("IFERROR(IF(SUMPRODUCT(('Σύνοψη'!$F$2:$F289=$A205)*('Σύνοψη'!$C$2:$C289=D$3)*('Σύνοψη'!$G$2:$G289=$B205))&gt;0,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'Σύνοψη'!$C$2:$C289=D$3)), IF(SUMPRODUCT(('Σύνοψη'!$F$2:$F289=$A205)*('Σύνοψη'!$C$2:$C289=D$3)*('Σύνοψη'!$G$2:$G289&lt;$B205)*('Σύνοψη'!$H$2:$H289&gt;$B205))&gt;0, CHAR(34), """") ), """")"),"")</f>
        <v/>
      </c>
      <c r="E205" s="67" t="str">
        <f ca="1">IFERROR(__xludf.DUMMYFUNCTION("IFERROR(IF(SUMPRODUCT(('Σύνοψη'!$F$2:$F289=$A205)*('Σύνοψη'!$C$2:$C289=E$3)*('Σύνοψη'!$G$2:$G289=$B205))&gt;0,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'Σύνοψη'!$C$2:$C289=E$3)), IF(SUMPRODUCT(('Σύνοψη'!$F$2:$F289=$A205)*('Σύνοψη'!$C$2:$C289=E$3)*('Σύνοψη'!$G$2:$G289&lt;$B205)*('Σύνοψη'!$H$2:$H289&gt;$B205))&gt;0, CHAR(34), """") ), """")"),"Κτηνιατρική Επιδημιολογία - 09:00 - 12:00 (Αμφιθέατρα)")</f>
        <v>Κτηνιατρική Επιδημιολογία - 09:00 - 12:00 (Αμφιθέατρα)</v>
      </c>
      <c r="F205" s="67" t="str">
        <f ca="1">IFERROR(__xludf.DUMMYFUNCTION("IFERROR(IF(SUMPRODUCT(('Σύνοψη'!$F$2:$F289=$A205)*('Σύνοψη'!$C$2:$C289=F$3)*('Σύνοψη'!$G$2:$G289=$B205))&gt;0,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'Σύνοψη'!$C$2:$C289=F$3)), IF(SUMPRODUCT(('Σύνοψη'!$F$2:$F289=$A205)*('Σύνοψη'!$C$2:$C289=F$3)*('Σύνοψη'!$G$2:$G289&lt;$B205)*('Σύνοψη'!$H$2:$H289&gt;$B205))&gt;0, CHAR(34), """") ), """")"),"")</f>
        <v/>
      </c>
      <c r="G205" s="67" t="str">
        <f ca="1">IFERROR(__xludf.DUMMYFUNCTION("IFERROR(IF(SUMPRODUCT(('Σύνοψη'!$F$2:$F289=$A205)*('Σύνοψη'!$C$2:$C289=G$3)*('Σύνοψη'!$G$2:$G289=$B205))&gt;0,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'Σύνοψη'!$C$2:$C289=G$3)), IF(SUMPRODUCT(('Σύνοψη'!$F$2:$F289=$A205)*('Σύνοψη'!$C$2:$C289=G$3)*('Σύνοψη'!$G$2:$G289&lt;$B205)*('Σύνοψη'!$H$2:$H289&gt;$B205))&gt;0, CHAR(34), """") ), """")"),"Πρακτική Άσκηση στη Μαιευτική &amp; Αναπαραγωγή ΙΙ (Πρακτικά Βοοειδή) - 09:00 - 14:00 (Μαιευτική Κλινική)")</f>
        <v>Πρακτική Άσκηση στη Μαιευτική &amp; Αναπαραγωγή ΙΙ (Πρακτικά Βοοειδή) - 09:00 - 14:00 (Μαιευτική Κλινική)</v>
      </c>
      <c r="H205" s="67" t="str">
        <f ca="1">IFERROR(__xludf.DUMMYFUNCTION("IFERROR(IF(SUMPRODUCT(('Σύνοψη'!$F$2:$F289=$A205)*('Σύνοψη'!$C$2:$C289=H$3)*('Σύνοψη'!$G$2:$G289=$B205))&gt;0, TEXTJOIN(CHAR(10) &amp; ""-----------------------"" &amp; CHAR(10), TRUE, FILTER('Σύνοψη'!$E$2:$E289 &amp; "" - "" &amp; 'Σύνοψη'!$I$2:$I289 &amp; "" ("" &amp; 'Σύνοψη'!$J"&amp;"$2:$J289 &amp; "")"", 'Σύνοψη'!$F$2:$F289=$A205, 'Σύνοψη'!$G$2:$G289=$B205, 'Σύνοψη'!$C$2:$C289=H$3)), IF(SUMPRODUCT(('Σύνοψη'!$F$2:$F289=$A205)*('Σύνοψη'!$C$2:$C289=H$3)*('Σύνοψη'!$G$2:$G289&lt;$B205)*('Σύνοψη'!$H$2:$H289&gt;$B205))&gt;0, CHAR(34), """") ), """")"),"Μαιευτική-Αναπαραγωγή ΙV (ΠΠΣ) (Πρακτικά Βοοειδή) - 09:00 - 14:00 (Μαιευτική Κλινική)")</f>
        <v>Μαιευτική-Αναπαραγωγή ΙV (ΠΠΣ) (Πρακτικά Βοοειδή) - 09:00 - 14:00 (Μαιευτική Κλινική)</v>
      </c>
      <c r="I205" s="3"/>
    </row>
    <row r="206" spans="1:9" s="100" customFormat="1" x14ac:dyDescent="0.25">
      <c r="A206" s="95">
        <f t="shared" si="14"/>
        <v>46283</v>
      </c>
      <c r="B206" s="89">
        <v>0.41666666666666669</v>
      </c>
      <c r="C206" s="67" t="str">
        <f ca="1">IFERROR(__xludf.DUMMYFUNCTION("IFERROR(IF(SUMPRODUCT(('Σύνοψη'!$F$2:$F289=$A206)*('Σύνοψη'!$C$2:$C289=C$3)*('Σύνοψη'!$G$2:$G289=$B206))&gt;0,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'Σύνοψη'!$C$2:$C289=C$3)), IF(SUMPRODUCT(('Σύνοψη'!$F$2:$F289=$A206)*('Σύνοψη'!$C$2:$C289=C$3)*('Σύνοψη'!$G$2:$G289&lt;$B206)*('Σύνοψη'!$H$2:$H289&gt;$B206))&gt;0, CHAR(34), """") ), """")"),"")</f>
        <v/>
      </c>
      <c r="D206" s="67" t="str">
        <f ca="1">IFERROR(__xludf.DUMMYFUNCTION("IFERROR(IF(SUMPRODUCT(('Σύνοψη'!$F$2:$F289=$A206)*('Σύνοψη'!$C$2:$C289=D$3)*('Σύνοψη'!$G$2:$G289=$B206))&gt;0,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'Σύνοψη'!$C$2:$C289=D$3)), IF(SUMPRODUCT(('Σύνοψη'!$F$2:$F289=$A206)*('Σύνοψη'!$C$2:$C289=D$3)*('Σύνοψη'!$G$2:$G289&lt;$B206)*('Σύνοψη'!$H$2:$H289&gt;$B206))&gt;0, CHAR(34), """") ), """")"),"")</f>
        <v/>
      </c>
      <c r="E206" s="67" t="str">
        <f ca="1">IFERROR(__xludf.DUMMYFUNCTION("IFERROR(IF(SUMPRODUCT(('Σύνοψη'!$F$2:$F289=$A206)*('Σύνοψη'!$C$2:$C289=E$3)*('Σύνοψη'!$G$2:$G289=$B206))&gt;0,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'Σύνοψη'!$C$2:$C289=E$3)), IF(SUMPRODUCT(('Σύνοψη'!$F$2:$F289=$A206)*('Σύνοψη'!$C$2:$C289=E$3)*('Σύνοψη'!$G$2:$G289&lt;$B206)*('Σύνοψη'!$H$2:$H289&gt;$B206))&gt;0, CHAR(34), """") ), """")"),"""")</f>
        <v>"</v>
      </c>
      <c r="F206" s="67" t="str">
        <f ca="1">IFERROR(__xludf.DUMMYFUNCTION("IFERROR(IF(SUMPRODUCT(('Σύνοψη'!$F$2:$F289=$A206)*('Σύνοψη'!$C$2:$C289=F$3)*('Σύνοψη'!$G$2:$G289=$B206))&gt;0,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'Σύνοψη'!$C$2:$C289=F$3)), IF(SUMPRODUCT(('Σύνοψη'!$F$2:$F289=$A206)*('Σύνοψη'!$C$2:$C289=F$3)*('Σύνοψη'!$G$2:$G289&lt;$B206)*('Σύνοψη'!$H$2:$H289&gt;$B206))&gt;0, CHAR(34), """") ), """")"),"")</f>
        <v/>
      </c>
      <c r="G206" s="67" t="str">
        <f ca="1">IFERROR(__xludf.DUMMYFUNCTION("IFERROR(IF(SUMPRODUCT(('Σύνοψη'!$F$2:$F289=$A206)*('Σύνοψη'!$C$2:$C289=G$3)*('Σύνοψη'!$G$2:$G289=$B206))&gt;0,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'Σύνοψη'!$C$2:$C289=G$3)), IF(SUMPRODUCT(('Σύνοψη'!$F$2:$F289=$A206)*('Σύνοψη'!$C$2:$C289=G$3)*('Σύνοψη'!$G$2:$G289&lt;$B206)*('Σύνοψη'!$H$2:$H289&gt;$B206))&gt;0, CHAR(34), """") ), """")"),"""")</f>
        <v>"</v>
      </c>
      <c r="H206" s="67" t="str">
        <f ca="1">IFERROR(__xludf.DUMMYFUNCTION("IFERROR(IF(SUMPRODUCT(('Σύνοψη'!$F$2:$F289=$A206)*('Σύνοψη'!$C$2:$C289=H$3)*('Σύνοψη'!$G$2:$G289=$B206))&gt;0, TEXTJOIN(CHAR(10) &amp; ""-----------------------"" &amp; CHAR(10), TRUE, FILTER('Σύνοψη'!$E$2:$E289 &amp; "" - "" &amp; 'Σύνοψη'!$I$2:$I289 &amp; "" ("" &amp; 'Σύνοψη'!$J"&amp;"$2:$J289 &amp; "")"", 'Σύνοψη'!$F$2:$F289=$A206, 'Σύνοψη'!$G$2:$G289=$B206, 'Σύνοψη'!$C$2:$C289=H$3)), IF(SUMPRODUCT(('Σύνοψη'!$F$2:$F289=$A206)*('Σύνοψη'!$C$2:$C289=H$3)*('Σύνοψη'!$G$2:$G289&lt;$B206)*('Σύνοψη'!$H$2:$H289&gt;$B206))&gt;0, CHAR(34), """") ), """")"),"""")</f>
        <v>"</v>
      </c>
      <c r="I206" s="3"/>
    </row>
    <row r="207" spans="1:9" s="100" customFormat="1" x14ac:dyDescent="0.25">
      <c r="A207" s="95">
        <f t="shared" si="14"/>
        <v>46283</v>
      </c>
      <c r="B207" s="89">
        <v>0.45833333333333331</v>
      </c>
      <c r="C207" s="67" t="str">
        <f ca="1">IFERROR(__xludf.DUMMYFUNCTION("IFERROR(IF(SUMPRODUCT(('Σύνοψη'!$F$2:$F289=$A207)*('Σύνοψη'!$C$2:$C289=C$3)*('Σύνοψη'!$G$2:$G289=$B207))&gt;0,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'Σύνοψη'!$C$2:$C289=C$3)), IF(SUMPRODUCT(('Σύνοψη'!$F$2:$F289=$A207)*('Σύνοψη'!$C$2:$C289=C$3)*('Σύνοψη'!$G$2:$G289&lt;$B207)*('Σύνοψη'!$H$2:$H289&gt;$B207))&gt;0, CHAR(34), """") ), """")"),"")</f>
        <v/>
      </c>
      <c r="D207" s="67" t="str">
        <f ca="1">IFERROR(__xludf.DUMMYFUNCTION("IFERROR(IF(SUMPRODUCT(('Σύνοψη'!$F$2:$F289=$A207)*('Σύνοψη'!$C$2:$C289=D$3)*('Σύνοψη'!$G$2:$G289=$B207))&gt;0,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'Σύνοψη'!$C$2:$C289=D$3)), IF(SUMPRODUCT(('Σύνοψη'!$F$2:$F289=$A207)*('Σύνοψη'!$C$2:$C289=D$3)*('Σύνοψη'!$G$2:$G289&lt;$B207)*('Σύνοψη'!$H$2:$H289&gt;$B207))&gt;0, CHAR(34), """") ), """")"),"")</f>
        <v/>
      </c>
      <c r="E207" s="67" t="str">
        <f ca="1">IFERROR(__xludf.DUMMYFUNCTION("IFERROR(IF(SUMPRODUCT(('Σύνοψη'!$F$2:$F289=$A207)*('Σύνοψη'!$C$2:$C289=E$3)*('Σύνοψη'!$G$2:$G289=$B207))&gt;0,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'Σύνοψη'!$C$2:$C289=E$3)), IF(SUMPRODUCT(('Σύνοψη'!$F$2:$F289=$A207)*('Σύνοψη'!$C$2:$C289=E$3)*('Σύνοψη'!$G$2:$G289&lt;$B207)*('Σύνοψη'!$H$2:$H289&gt;$B207))&gt;0, CHAR(34), """") ), """")"),"""")</f>
        <v>"</v>
      </c>
      <c r="F207" s="67" t="str">
        <f ca="1">IFERROR(__xludf.DUMMYFUNCTION("IFERROR(IF(SUMPRODUCT(('Σύνοψη'!$F$2:$F289=$A207)*('Σύνοψη'!$C$2:$C289=F$3)*('Σύνοψη'!$G$2:$G289=$B207))&gt;0,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'Σύνοψη'!$C$2:$C289=F$3)), IF(SUMPRODUCT(('Σύνοψη'!$F$2:$F289=$A207)*('Σύνοψη'!$C$2:$C289=F$3)*('Σύνοψη'!$G$2:$G289&lt;$B207)*('Σύνοψη'!$H$2:$H289&gt;$B207))&gt;0, CHAR(34), """") ), """")"),"")</f>
        <v/>
      </c>
      <c r="G207" s="67" t="str">
        <f ca="1">IFERROR(__xludf.DUMMYFUNCTION("IFERROR(IF(SUMPRODUCT(('Σύνοψη'!$F$2:$F289=$A207)*('Σύνοψη'!$C$2:$C289=G$3)*('Σύνοψη'!$G$2:$G289=$B207))&gt;0,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'Σύνοψη'!$C$2:$C289=G$3)), IF(SUMPRODUCT(('Σύνοψη'!$F$2:$F289=$A207)*('Σύνοψη'!$C$2:$C289=G$3)*('Σύνοψη'!$G$2:$G289&lt;$B207)*('Σύνοψη'!$H$2:$H289&gt;$B207))&gt;0, CHAR(34), """") ), """")"),"""")</f>
        <v>"</v>
      </c>
      <c r="H207" s="67" t="str">
        <f ca="1">IFERROR(__xludf.DUMMYFUNCTION("IFERROR(IF(SUMPRODUCT(('Σύνοψη'!$F$2:$F289=$A207)*('Σύνοψη'!$C$2:$C289=H$3)*('Σύνοψη'!$G$2:$G289=$B207))&gt;0, TEXTJOIN(CHAR(10) &amp; ""-----------------------"" &amp; CHAR(10), TRUE, FILTER('Σύνοψη'!$E$2:$E289 &amp; "" - "" &amp; 'Σύνοψη'!$I$2:$I289 &amp; "" ("" &amp; 'Σύνοψη'!$J"&amp;"$2:$J289 &amp; "")"", 'Σύνοψη'!$F$2:$F289=$A207, 'Σύνοψη'!$G$2:$G289=$B207, 'Σύνοψη'!$C$2:$C289=H$3)), IF(SUMPRODUCT(('Σύνοψη'!$F$2:$F289=$A207)*('Σύνοψη'!$C$2:$C289=H$3)*('Σύνοψη'!$G$2:$G289&lt;$B207)*('Σύνοψη'!$H$2:$H289&gt;$B207))&gt;0, CHAR(34), """") ), """")"),"""")</f>
        <v>"</v>
      </c>
      <c r="I207" s="3"/>
    </row>
    <row r="208" spans="1:9" s="100" customFormat="1" x14ac:dyDescent="0.25">
      <c r="A208" s="95">
        <f t="shared" si="14"/>
        <v>46283</v>
      </c>
      <c r="B208" s="89">
        <v>0.5</v>
      </c>
      <c r="C208" s="67" t="str">
        <f ca="1">IFERROR(__xludf.DUMMYFUNCTION("IFERROR(IF(SUMPRODUCT(('Σύνοψη'!$F$2:$F289=$A208)*('Σύνοψη'!$C$2:$C289=C$3)*('Σύνοψη'!$G$2:$G289=$B208))&gt;0,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'Σύνοψη'!$C$2:$C289=C$3)), IF(SUMPRODUCT(('Σύνοψη'!$F$2:$F289=$A208)*('Σύνοψη'!$C$2:$C289=C$3)*('Σύνοψη'!$G$2:$G289&lt;$B208)*('Σύνοψη'!$H$2:$H289&gt;$B208))&gt;0, CHAR(34), """") ), """")"),"")</f>
        <v/>
      </c>
      <c r="D208" s="67" t="str">
        <f ca="1">IFERROR(__xludf.DUMMYFUNCTION("IFERROR(IF(SUMPRODUCT(('Σύνοψη'!$F$2:$F289=$A208)*('Σύνοψη'!$C$2:$C289=D$3)*('Σύνοψη'!$G$2:$G289=$B208))&gt;0,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'Σύνοψη'!$C$2:$C289=D$3)), IF(SUMPRODUCT(('Σύνοψη'!$F$2:$F289=$A208)*('Σύνοψη'!$C$2:$C289=D$3)*('Σύνοψη'!$G$2:$G289&lt;$B208)*('Σύνοψη'!$H$2:$H289&gt;$B208))&gt;0, CHAR(34), """") ), """")"),"")</f>
        <v/>
      </c>
      <c r="E208" s="67" t="str">
        <f ca="1">IFERROR(__xludf.DUMMYFUNCTION("IFERROR(IF(SUMPRODUCT(('Σύνοψη'!$F$2:$F289=$A208)*('Σύνοψη'!$C$2:$C289=E$3)*('Σύνοψη'!$G$2:$G289=$B208))&gt;0,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'Σύνοψη'!$C$2:$C289=E$3)), IF(SUMPRODUCT(('Σύνοψη'!$F$2:$F289=$A208)*('Σύνοψη'!$C$2:$C289=E$3)*('Σύνοψη'!$G$2:$G289&lt;$B208)*('Σύνοψη'!$H$2:$H289&gt;$B208))&gt;0, CHAR(34), """") ), """")"),"")</f>
        <v/>
      </c>
      <c r="F208" s="67" t="str">
        <f ca="1">IFERROR(__xludf.DUMMYFUNCTION("IFERROR(IF(SUMPRODUCT(('Σύνοψη'!$F$2:$F289=$A208)*('Σύνοψη'!$C$2:$C289=F$3)*('Σύνοψη'!$G$2:$G289=$B208))&gt;0,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'Σύνοψη'!$C$2:$C289=F$3)), IF(SUMPRODUCT(('Σύνοψη'!$F$2:$F289=$A208)*('Σύνοψη'!$C$2:$C289=F$3)*('Σύνοψη'!$G$2:$G289&lt;$B208)*('Σύνοψη'!$H$2:$H289&gt;$B208))&gt;0, CHAR(34), """") ), """")"),"")</f>
        <v/>
      </c>
      <c r="G208" s="67" t="str">
        <f ca="1">IFERROR(__xludf.DUMMYFUNCTION("IFERROR(IF(SUMPRODUCT(('Σύνοψη'!$F$2:$F289=$A208)*('Σύνοψη'!$C$2:$C289=G$3)*('Σύνοψη'!$G$2:$G289=$B208))&gt;0,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'Σύνοψη'!$C$2:$C289=G$3)), IF(SUMPRODUCT(('Σύνοψη'!$F$2:$F289=$A208)*('Σύνοψη'!$C$2:$C289=G$3)*('Σύνοψη'!$G$2:$G289&lt;$B208)*('Σύνοψη'!$H$2:$H289&gt;$B208))&gt;0, CHAR(34), """") ), """")"),"""")</f>
        <v>"</v>
      </c>
      <c r="H208" s="67" t="str">
        <f ca="1">IFERROR(__xludf.DUMMYFUNCTION("IFERROR(IF(SUMPRODUCT(('Σύνοψη'!$F$2:$F289=$A208)*('Σύνοψη'!$C$2:$C289=H$3)*('Σύνοψη'!$G$2:$G289=$B208))&gt;0, TEXTJOIN(CHAR(10) &amp; ""-----------------------"" &amp; CHAR(10), TRUE, FILTER('Σύνοψη'!$E$2:$E289 &amp; "" - "" &amp; 'Σύνοψη'!$I$2:$I289 &amp; "" ("" &amp; 'Σύνοψη'!$J"&amp;"$2:$J289 &amp; "")"", 'Σύνοψη'!$F$2:$F289=$A208, 'Σύνοψη'!$G$2:$G289=$B208, 'Σύνοψη'!$C$2:$C289=H$3)), IF(SUMPRODUCT(('Σύνοψη'!$F$2:$F289=$A208)*('Σύνοψη'!$C$2:$C289=H$3)*('Σύνοψη'!$G$2:$G289&lt;$B208)*('Σύνοψη'!$H$2:$H289&gt;$B208))&gt;0, CHAR(34), """") ), """")"),"""")</f>
        <v>"</v>
      </c>
      <c r="I208" s="3"/>
    </row>
    <row r="209" spans="1:9" s="100" customFormat="1" x14ac:dyDescent="0.25">
      <c r="A209" s="95">
        <f t="shared" si="14"/>
        <v>46283</v>
      </c>
      <c r="B209" s="89">
        <v>0.54166666666666663</v>
      </c>
      <c r="C209" s="67" t="str">
        <f ca="1">IFERROR(__xludf.DUMMYFUNCTION("IFERROR(IF(SUMPRODUCT(('Σύνοψη'!$F$2:$F289=$A209)*('Σύνοψη'!$C$2:$C289=C$3)*('Σύνοψη'!$G$2:$G289=$B209))&gt;0,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'Σύνοψη'!$C$2:$C289=C$3)), IF(SUMPRODUCT(('Σύνοψη'!$F$2:$F289=$A209)*('Σύνοψη'!$C$2:$C289=C$3)*('Σύνοψη'!$G$2:$G289&lt;$B209)*('Σύνοψη'!$H$2:$H289&gt;$B209))&gt;0, CHAR(34), """") ), """")"),"")</f>
        <v/>
      </c>
      <c r="D209" s="67" t="str">
        <f ca="1">IFERROR(__xludf.DUMMYFUNCTION("IFERROR(IF(SUMPRODUCT(('Σύνοψη'!$F$2:$F289=$A209)*('Σύνοψη'!$C$2:$C289=D$3)*('Σύνοψη'!$G$2:$G289=$B209))&gt;0,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'Σύνοψη'!$C$2:$C289=D$3)), IF(SUMPRODUCT(('Σύνοψη'!$F$2:$F289=$A209)*('Σύνοψη'!$C$2:$C289=D$3)*('Σύνοψη'!$G$2:$G289&lt;$B209)*('Σύνοψη'!$H$2:$H289&gt;$B209))&gt;0, CHAR(34), """") ), """")"),"")</f>
        <v/>
      </c>
      <c r="E209" s="67" t="str">
        <f ca="1">IFERROR(__xludf.DUMMYFUNCTION("IFERROR(IF(SUMPRODUCT(('Σύνοψη'!$F$2:$F289=$A209)*('Σύνοψη'!$C$2:$C289=E$3)*('Σύνοψη'!$G$2:$G289=$B209))&gt;0,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'Σύνοψη'!$C$2:$C289=E$3)), IF(SUMPRODUCT(('Σύνοψη'!$F$2:$F289=$A209)*('Σύνοψη'!$C$2:$C289=E$3)*('Σύνοψη'!$G$2:$G289&lt;$B209)*('Σύνοψη'!$H$2:$H289&gt;$B209))&gt;0, CHAR(34), """") ), """")"),"")</f>
        <v/>
      </c>
      <c r="F209" s="67" t="str">
        <f ca="1">IFERROR(__xludf.DUMMYFUNCTION("IFERROR(IF(SUMPRODUCT(('Σύνοψη'!$F$2:$F289=$A209)*('Σύνοψη'!$C$2:$C289=F$3)*('Σύνοψη'!$G$2:$G289=$B209))&gt;0,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'Σύνοψη'!$C$2:$C289=F$3)), IF(SUMPRODUCT(('Σύνοψη'!$F$2:$F289=$A209)*('Σύνοψη'!$C$2:$C289=F$3)*('Σύνοψη'!$G$2:$G289&lt;$B209)*('Σύνοψη'!$H$2:$H289&gt;$B209))&gt;0, CHAR(34), """") ), """")"),"")</f>
        <v/>
      </c>
      <c r="G209" s="67" t="str">
        <f ca="1">IFERROR(__xludf.DUMMYFUNCTION("IFERROR(IF(SUMPRODUCT(('Σύνοψη'!$F$2:$F289=$A209)*('Σύνοψη'!$C$2:$C289=G$3)*('Σύνοψη'!$G$2:$G289=$B209))&gt;0,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'Σύνοψη'!$C$2:$C289=G$3)), IF(SUMPRODUCT(('Σύνοψη'!$F$2:$F289=$A209)*('Σύνοψη'!$C$2:$C289=G$3)*('Σύνοψη'!$G$2:$G289&lt;$B209)*('Σύνοψη'!$H$2:$H289&gt;$B209))&gt;0, CHAR(34), """") ), """")"),"""")</f>
        <v>"</v>
      </c>
      <c r="H209" s="67" t="str">
        <f ca="1">IFERROR(__xludf.DUMMYFUNCTION("IFERROR(IF(SUMPRODUCT(('Σύνοψη'!$F$2:$F289=$A209)*('Σύνοψη'!$C$2:$C289=H$3)*('Σύνοψη'!$G$2:$G289=$B209))&gt;0, TEXTJOIN(CHAR(10) &amp; ""-----------------------"" &amp; CHAR(10), TRUE, FILTER('Σύνοψη'!$E$2:$E289 &amp; "" - "" &amp; 'Σύνοψη'!$I$2:$I289 &amp; "" ("" &amp; 'Σύνοψη'!$J"&amp;"$2:$J289 &amp; "")"", 'Σύνοψη'!$F$2:$F289=$A209, 'Σύνοψη'!$G$2:$G289=$B209, 'Σύνοψη'!$C$2:$C289=H$3)), IF(SUMPRODUCT(('Σύνοψη'!$F$2:$F289=$A209)*('Σύνοψη'!$C$2:$C289=H$3)*('Σύνοψη'!$G$2:$G289&lt;$B209)*('Σύνοψη'!$H$2:$H289&gt;$B209))&gt;0, CHAR(34), """") ), """")"),"""")</f>
        <v>"</v>
      </c>
      <c r="I209" s="3"/>
    </row>
    <row r="210" spans="1:9" s="100" customFormat="1" x14ac:dyDescent="0.25">
      <c r="A210" s="95">
        <f t="shared" si="14"/>
        <v>46283</v>
      </c>
      <c r="B210" s="89">
        <v>0.58333333333333337</v>
      </c>
      <c r="C210" s="67" t="str">
        <f ca="1">IFERROR(__xludf.DUMMYFUNCTION("IFERROR(IF(SUMPRODUCT(('Σύνοψη'!$F$2:$F289=$A210)*('Σύνοψη'!$C$2:$C289=C$3)*('Σύνοψη'!$G$2:$G289=$B210))&gt;0,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'Σύνοψη'!$C$2:$C289=C$3)), IF(SUMPRODUCT(('Σύνοψη'!$F$2:$F289=$A210)*('Σύνοψη'!$C$2:$C289=C$3)*('Σύνοψη'!$G$2:$G289&lt;$B210)*('Σύνοψη'!$H$2:$H289&gt;$B210))&gt;0, CHAR(34), """") ), """")"),"")</f>
        <v/>
      </c>
      <c r="D210" s="67" t="str">
        <f ca="1">IFERROR(__xludf.DUMMYFUNCTION("IFERROR(IF(SUMPRODUCT(('Σύνοψη'!$F$2:$F289=$A210)*('Σύνοψη'!$C$2:$C289=D$3)*('Σύνοψη'!$G$2:$G289=$B210))&gt;0,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'Σύνοψη'!$C$2:$C289=D$3)), IF(SUMPRODUCT(('Σύνοψη'!$F$2:$F289=$A210)*('Σύνοψη'!$C$2:$C289=D$3)*('Σύνοψη'!$G$2:$G289&lt;$B210)*('Σύνοψη'!$H$2:$H289&gt;$B210))&gt;0, CHAR(34), """") ), """")"),"")</f>
        <v/>
      </c>
      <c r="E210" s="67" t="str">
        <f ca="1">IFERROR(__xludf.DUMMYFUNCTION("IFERROR(IF(SUMPRODUCT(('Σύνοψη'!$F$2:$F289=$A210)*('Σύνοψη'!$C$2:$C289=E$3)*('Σύνοψη'!$G$2:$G289=$B210))&gt;0,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'Σύνοψη'!$C$2:$C289=E$3)), IF(SUMPRODUCT(('Σύνοψη'!$F$2:$F289=$A210)*('Σύνοψη'!$C$2:$C289=E$3)*('Σύνοψη'!$G$2:$G289&lt;$B210)*('Σύνοψη'!$H$2:$H289&gt;$B210))&gt;0, CHAR(34), """") ), """")"),"")</f>
        <v/>
      </c>
      <c r="F210" s="67" t="str">
        <f ca="1">IFERROR(__xludf.DUMMYFUNCTION("IFERROR(IF(SUMPRODUCT(('Σύνοψη'!$F$2:$F289=$A210)*('Σύνοψη'!$C$2:$C289=F$3)*('Σύνοψη'!$G$2:$G289=$B210))&gt;0,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'Σύνοψη'!$C$2:$C289=F$3)), IF(SUMPRODUCT(('Σύνοψη'!$F$2:$F289=$A210)*('Σύνοψη'!$C$2:$C289=F$3)*('Σύνοψη'!$G$2:$G289&lt;$B210)*('Σύνοψη'!$H$2:$H289&gt;$B210))&gt;0, CHAR(34), """") ), """")"),"")</f>
        <v/>
      </c>
      <c r="G210" s="67" t="str">
        <f ca="1">IFERROR(__xludf.DUMMYFUNCTION("IFERROR(IF(SUMPRODUCT(('Σύνοψη'!$F$2:$F289=$A210)*('Σύνοψη'!$C$2:$C289=G$3)*('Σύνοψη'!$G$2:$G289=$B210))&gt;0,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'Σύνοψη'!$C$2:$C289=G$3)), IF(SUMPRODUCT(('Σύνοψη'!$F$2:$F289=$A210)*('Σύνοψη'!$C$2:$C289=G$3)*('Σύνοψη'!$G$2:$G289&lt;$B210)*('Σύνοψη'!$H$2:$H289&gt;$B210))&gt;0, CHAR(34), """") ), """")"),"")</f>
        <v/>
      </c>
      <c r="H210" s="67" t="str">
        <f ca="1">IFERROR(__xludf.DUMMYFUNCTION("IFERROR(IF(SUMPRODUCT(('Σύνοψη'!$F$2:$F289=$A210)*('Σύνοψη'!$C$2:$C289=H$3)*('Σύνοψη'!$G$2:$G289=$B210))&gt;0, TEXTJOIN(CHAR(10) &amp; ""-----------------------"" &amp; CHAR(10), TRUE, FILTER('Σύνοψη'!$E$2:$E289 &amp; "" - "" &amp; 'Σύνοψη'!$I$2:$I289 &amp; "" ("" &amp; 'Σύνοψη'!$J"&amp;"$2:$J289 &amp; "")"", 'Σύνοψη'!$F$2:$F289=$A210, 'Σύνοψη'!$G$2:$G289=$B210, 'Σύνοψη'!$C$2:$C289=H$3)), IF(SUMPRODUCT(('Σύνοψη'!$F$2:$F289=$A210)*('Σύνοψη'!$C$2:$C289=H$3)*('Σύνοψη'!$G$2:$G289&lt;$B210)*('Σύνοψη'!$H$2:$H289&gt;$B210))&gt;0, CHAR(34), """") ), """")"),"")</f>
        <v/>
      </c>
      <c r="I210" s="3"/>
    </row>
    <row r="211" spans="1:9" s="100" customFormat="1" ht="105" x14ac:dyDescent="0.25">
      <c r="A211" s="95">
        <f t="shared" si="14"/>
        <v>46283</v>
      </c>
      <c r="B211" s="89">
        <v>0.625</v>
      </c>
      <c r="C211" s="67" t="str">
        <f ca="1">IFERROR(__xludf.DUMMYFUNCTION("IFERROR(IF(SUMPRODUCT(('Σύνοψη'!$F$2:$F289=$A211)*('Σύνοψη'!$C$2:$C289=C$3)*('Σύνοψη'!$G$2:$G289=$B211))&gt;0,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'Σύνοψη'!$C$2:$C289=C$3)), IF(SUMPRODUCT(('Σύνοψη'!$F$2:$F289=$A211)*('Σύνοψη'!$C$2:$C289=C$3)*('Σύνοψη'!$G$2:$G289&lt;$B211)*('Σύνοψη'!$H$2:$H289&gt;$B211))&gt;0, CHAR(34), """") ), """")"),"Φυσιολογία Ι - 15:00 - 18:00 (Αμφιθέατρα)")</f>
        <v>Φυσιολογία Ι - 15:00 - 18:00 (Αμφιθέατρα)</v>
      </c>
      <c r="D211" s="67" t="str">
        <f ca="1">IFERROR(__xludf.DUMMYFUNCTION("IFERROR(IF(SUMPRODUCT(('Σύνοψη'!$F$2:$F289=$A211)*('Σύνοψη'!$C$2:$C289=D$3)*('Σύνοψη'!$G$2:$G289=$B211))&gt;0,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'Σύνοψη'!$C$2:$C289=D$3)), IF(SUMPRODUCT(('Σύνοψη'!$F$2:$F289=$A211)*('Σύνοψη'!$C$2:$C289=D$3)*('Σύνοψη'!$G$2:$G289&lt;$B211)*('Σύνοψη'!$H$2:$H289&gt;$B211))&gt;0, CHAR(34), """") ), """")"),"")</f>
        <v/>
      </c>
      <c r="E211" s="67" t="str">
        <f ca="1">IFERROR(__xludf.DUMMYFUNCTION("IFERROR(IF(SUMPRODUCT(('Σύνοψη'!$F$2:$F289=$A211)*('Σύνοψη'!$C$2:$C289=E$3)*('Σύνοψη'!$G$2:$G289=$B211))&gt;0,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'Σύνοψη'!$C$2:$C289=E$3)), IF(SUMPRODUCT(('Σύνοψη'!$F$2:$F289=$A211)*('Σύνοψη'!$C$2:$C289=E$3)*('Σύνοψη'!$G$2:$G289&lt;$B211)*('Σύνοψη'!$H$2:$H289&gt;$B211))&gt;0, CHAR(34), """") ), """")"),"")</f>
        <v/>
      </c>
      <c r="F211" s="67" t="str">
        <f ca="1">IFERROR(__xludf.DUMMYFUNCTION("IFERROR(IF(SUMPRODUCT(('Σύνοψη'!$F$2:$F289=$A211)*('Σύνοψη'!$C$2:$C289=F$3)*('Σύνοψη'!$G$2:$G289=$B211))&gt;0,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'Σύνοψη'!$C$2:$C289=F$3)), IF(SUMPRODUCT(('Σύνοψη'!$F$2:$F289=$A211)*('Σύνοψη'!$C$2:$C289=F$3)*('Σύνοψη'!$G$2:$G289&lt;$B211)*('Σύνοψη'!$H$2:$H289&gt;$B211))&gt;0, CHAR(34), """") ), """")"),"Παθολογία Πτηνών Ι - 15:00 - 17:00 (Νέες Αίθουσες)
-----------------------
Παθολογία Πτηνών ΙI - 15:00 - 17:00 (Νέες Αίθουσες)")</f>
        <v>Παθολογία Πτηνών Ι - 15:00 - 17:00 (Νέες Αίθουσες)
-----------------------
Παθολογία Πτηνών ΙI - 15:00 - 17:00 (Νέες Αίθουσες)</v>
      </c>
      <c r="G211" s="67" t="str">
        <f ca="1">IFERROR(__xludf.DUMMYFUNCTION("IFERROR(IF(SUMPRODUCT(('Σύνοψη'!$F$2:$F289=$A211)*('Σύνοψη'!$C$2:$C289=G$3)*('Σύνοψη'!$G$2:$G289=$B211))&gt;0,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'Σύνοψη'!$C$2:$C289=G$3)), IF(SUMPRODUCT(('Σύνοψη'!$F$2:$F289=$A211)*('Σύνοψη'!$C$2:$C289=G$3)*('Σύνοψη'!$G$2:$G289&lt;$B211)*('Σύνοψη'!$H$2:$H289&gt;$B211))&gt;0, CHAR(34), """") ), """")"),"Πρακτική Άσκηση στην Παθολογία Πτηνών Ι - 15:00 - 17:00 (Νέες Αίθουσες)
-----------------------
Πρακτική Άσκηση στην Παθολογία Πτηνών ΙΙ - 15:00 - 17:00 (Νέες Αίθουσες)")</f>
        <v>Πρακτική Άσκηση στην Παθολογία Πτηνών Ι - 15:00 - 17:00 (Νέες Αίθουσες)
-----------------------
Πρακτική Άσκηση στην Παθολογία Πτηνών ΙΙ - 15:00 - 17:00 (Νέες Αίθουσες)</v>
      </c>
      <c r="H211" s="67" t="str">
        <f ca="1">IFERROR(__xludf.DUMMYFUNCTION("IFERROR(IF(SUMPRODUCT(('Σύνοψη'!$F$2:$F289=$A211)*('Σύνοψη'!$C$2:$C289=H$3)*('Σύνοψη'!$G$2:$G289=$B211))&gt;0, TEXTJOIN(CHAR(10) &amp; ""-----------------------"" &amp; CHAR(10), TRUE, FILTER('Σύνοψη'!$E$2:$E289 &amp; "" - "" &amp; 'Σύνοψη'!$I$2:$I289 &amp; "" ("" &amp; 'Σύνοψη'!$J"&amp;"$2:$J289 &amp; "")"", 'Σύνοψη'!$F$2:$F289=$A211, 'Σύνοψη'!$G$2:$G289=$B211, 'Σύνοψη'!$C$2:$C289=H$3)), IF(SUMPRODUCT(('Σύνοψη'!$F$2:$F289=$A211)*('Σύνοψη'!$C$2:$C289=H$3)*('Σύνοψη'!$G$2:$G289&lt;$B211)*('Σύνοψη'!$H$2:$H289&gt;$B211))&gt;0, CHAR(34), """") ), """")"),"")</f>
        <v/>
      </c>
      <c r="I211" s="3"/>
    </row>
    <row r="212" spans="1:9" s="100" customFormat="1" x14ac:dyDescent="0.25">
      <c r="A212" s="95">
        <f t="shared" si="14"/>
        <v>46283</v>
      </c>
      <c r="B212" s="89">
        <v>0.66666666666666663</v>
      </c>
      <c r="C212" s="67" t="str">
        <f ca="1">IFERROR(__xludf.DUMMYFUNCTION("IFERROR(IF(SUMPRODUCT(('Σύνοψη'!$F$2:$F289=$A212)*('Σύνοψη'!$C$2:$C289=C$3)*('Σύνοψη'!$G$2:$G289=$B212))&gt;0,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'Σύνοψη'!$C$2:$C289=C$3)), IF(SUMPRODUCT(('Σύνοψη'!$F$2:$F289=$A212)*('Σύνοψη'!$C$2:$C289=C$3)*('Σύνοψη'!$G$2:$G289&lt;$B212)*('Σύνοψη'!$H$2:$H289&gt;$B212))&gt;0, CHAR(34), """") ), """")"),"""")</f>
        <v>"</v>
      </c>
      <c r="D212" s="67" t="str">
        <f ca="1">IFERROR(__xludf.DUMMYFUNCTION("IFERROR(IF(SUMPRODUCT(('Σύνοψη'!$F$2:$F289=$A212)*('Σύνοψη'!$C$2:$C289=D$3)*('Σύνοψη'!$G$2:$G289=$B212))&gt;0,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'Σύνοψη'!$C$2:$C289=D$3)), IF(SUMPRODUCT(('Σύνοψη'!$F$2:$F289=$A212)*('Σύνοψη'!$C$2:$C289=D$3)*('Σύνοψη'!$G$2:$G289&lt;$B212)*('Σύνοψη'!$H$2:$H289&gt;$B212))&gt;0, CHAR(34), """") ), """")"),"")</f>
        <v/>
      </c>
      <c r="E212" s="67" t="str">
        <f ca="1">IFERROR(__xludf.DUMMYFUNCTION("IFERROR(IF(SUMPRODUCT(('Σύνοψη'!$F$2:$F289=$A212)*('Σύνοψη'!$C$2:$C289=E$3)*('Σύνοψη'!$G$2:$G289=$B212))&gt;0,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'Σύνοψη'!$C$2:$C289=E$3)), IF(SUMPRODUCT(('Σύνοψη'!$F$2:$F289=$A212)*('Σύνοψη'!$C$2:$C289=E$3)*('Σύνοψη'!$G$2:$G289&lt;$B212)*('Σύνοψη'!$H$2:$H289&gt;$B212))&gt;0, CHAR(34), """") ), """")"),"")</f>
        <v/>
      </c>
      <c r="F212" s="67" t="str">
        <f ca="1">IFERROR(__xludf.DUMMYFUNCTION("IFERROR(IF(SUMPRODUCT(('Σύνοψη'!$F$2:$F289=$A212)*('Σύνοψη'!$C$2:$C289=F$3)*('Σύνοψη'!$G$2:$G289=$B212))&gt;0,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'Σύνοψη'!$C$2:$C289=F$3)), IF(SUMPRODUCT(('Σύνοψη'!$F$2:$F289=$A212)*('Σύνοψη'!$C$2:$C289=F$3)*('Σύνοψη'!$G$2:$G289&lt;$B212)*('Σύνοψη'!$H$2:$H289&gt;$B212))&gt;0, CHAR(34), """") ), """")"),"""")</f>
        <v>"</v>
      </c>
      <c r="G212" s="67" t="str">
        <f ca="1">IFERROR(__xludf.DUMMYFUNCTION("IFERROR(IF(SUMPRODUCT(('Σύνοψη'!$F$2:$F289=$A212)*('Σύνοψη'!$C$2:$C289=G$3)*('Σύνοψη'!$G$2:$G289=$B212))&gt;0,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'Σύνοψη'!$C$2:$C289=G$3)), IF(SUMPRODUCT(('Σύνοψη'!$F$2:$F289=$A212)*('Σύνοψη'!$C$2:$C289=G$3)*('Σύνοψη'!$G$2:$G289&lt;$B212)*('Σύνοψη'!$H$2:$H289&gt;$B212))&gt;0, CHAR(34), """") ), """")"),"""")</f>
        <v>"</v>
      </c>
      <c r="H212" s="67" t="str">
        <f ca="1">IFERROR(__xludf.DUMMYFUNCTION("IFERROR(IF(SUMPRODUCT(('Σύνοψη'!$F$2:$F289=$A212)*('Σύνοψη'!$C$2:$C289=H$3)*('Σύνοψη'!$G$2:$G289=$B212))&gt;0, TEXTJOIN(CHAR(10) &amp; ""-----------------------"" &amp; CHAR(10), TRUE, FILTER('Σύνοψη'!$E$2:$E289 &amp; "" - "" &amp; 'Σύνοψη'!$I$2:$I289 &amp; "" ("" &amp; 'Σύνοψη'!$J"&amp;"$2:$J289 &amp; "")"", 'Σύνοψη'!$F$2:$F289=$A212, 'Σύνοψη'!$G$2:$G289=$B212, 'Σύνοψη'!$C$2:$C289=H$3)), IF(SUMPRODUCT(('Σύνοψη'!$F$2:$F289=$A212)*('Σύνοψη'!$C$2:$C289=H$3)*('Σύνοψη'!$G$2:$G289&lt;$B212)*('Σύνοψη'!$H$2:$H289&gt;$B212))&gt;0, CHAR(34), """") ), """")"),"")</f>
        <v/>
      </c>
      <c r="I212" s="3"/>
    </row>
    <row r="213" spans="1:9" s="100" customFormat="1" x14ac:dyDescent="0.25">
      <c r="A213" s="95">
        <f t="shared" si="14"/>
        <v>46283</v>
      </c>
      <c r="B213" s="89">
        <v>0.70833333333333337</v>
      </c>
      <c r="C213" s="67" t="str">
        <f ca="1">IFERROR(__xludf.DUMMYFUNCTION("IFERROR(IF(SUMPRODUCT(('Σύνοψη'!$F$2:$F289=$A213)*('Σύνοψη'!$C$2:$C289=C$3)*('Σύνοψη'!$G$2:$G289=$B213))&gt;0,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'Σύνοψη'!$C$2:$C289=C$3)), IF(SUMPRODUCT(('Σύνοψη'!$F$2:$F289=$A213)*('Σύνοψη'!$C$2:$C289=C$3)*('Σύνοψη'!$G$2:$G289&lt;$B213)*('Σύνοψη'!$H$2:$H289&gt;$B213))&gt;0, CHAR(34), """") ), """")"),"""")</f>
        <v>"</v>
      </c>
      <c r="D213" s="67" t="str">
        <f ca="1">IFERROR(__xludf.DUMMYFUNCTION("IFERROR(IF(SUMPRODUCT(('Σύνοψη'!$F$2:$F289=$A213)*('Σύνοψη'!$C$2:$C289=D$3)*('Σύνοψη'!$G$2:$G289=$B213))&gt;0,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'Σύνοψη'!$C$2:$C289=D$3)), IF(SUMPRODUCT(('Σύνοψη'!$F$2:$F289=$A213)*('Σύνοψη'!$C$2:$C289=D$3)*('Σύνοψη'!$G$2:$G289&lt;$B213)*('Σύνοψη'!$H$2:$H289&gt;$B213))&gt;0, CHAR(34), """") ), """")"),"")</f>
        <v/>
      </c>
      <c r="E213" s="67" t="str">
        <f ca="1">IFERROR(__xludf.DUMMYFUNCTION("IFERROR(IF(SUMPRODUCT(('Σύνοψη'!$F$2:$F289=$A213)*('Σύνοψη'!$C$2:$C289=E$3)*('Σύνοψη'!$G$2:$G289=$B213))&gt;0,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'Σύνοψη'!$C$2:$C289=E$3)), IF(SUMPRODUCT(('Σύνοψη'!$F$2:$F289=$A213)*('Σύνοψη'!$C$2:$C289=E$3)*('Σύνοψη'!$G$2:$G289&lt;$B213)*('Σύνοψη'!$H$2:$H289&gt;$B213))&gt;0, CHAR(34), """") ), """")"),"")</f>
        <v/>
      </c>
      <c r="F213" s="67" t="str">
        <f ca="1">IFERROR(__xludf.DUMMYFUNCTION("IFERROR(IF(SUMPRODUCT(('Σύνοψη'!$F$2:$F289=$A213)*('Σύνοψη'!$C$2:$C289=F$3)*('Σύνοψη'!$G$2:$G289=$B213))&gt;0,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'Σύνοψη'!$C$2:$C289=F$3)), IF(SUMPRODUCT(('Σύνοψη'!$F$2:$F289=$A213)*('Σύνοψη'!$C$2:$C289=F$3)*('Σύνοψη'!$G$2:$G289&lt;$B213)*('Σύνοψη'!$H$2:$H289&gt;$B213))&gt;0, CHAR(34), """") ), """")"),"")</f>
        <v/>
      </c>
      <c r="G213" s="67" t="str">
        <f ca="1">IFERROR(__xludf.DUMMYFUNCTION("IFERROR(IF(SUMPRODUCT(('Σύνοψη'!$F$2:$F289=$A213)*('Σύνοψη'!$C$2:$C289=G$3)*('Σύνοψη'!$G$2:$G289=$B213))&gt;0,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'Σύνοψη'!$C$2:$C289=G$3)), IF(SUMPRODUCT(('Σύνοψη'!$F$2:$F289=$A213)*('Σύνοψη'!$C$2:$C289=G$3)*('Σύνοψη'!$G$2:$G289&lt;$B213)*('Σύνοψη'!$H$2:$H289&gt;$B213))&gt;0, CHAR(34), """") ), """")"),"")</f>
        <v/>
      </c>
      <c r="H213" s="67" t="str">
        <f ca="1">IFERROR(__xludf.DUMMYFUNCTION("IFERROR(IF(SUMPRODUCT(('Σύνοψη'!$F$2:$F289=$A213)*('Σύνοψη'!$C$2:$C289=H$3)*('Σύνοψη'!$G$2:$G289=$B213))&gt;0, TEXTJOIN(CHAR(10) &amp; ""-----------------------"" &amp; CHAR(10), TRUE, FILTER('Σύνοψη'!$E$2:$E289 &amp; "" - "" &amp; 'Σύνοψη'!$I$2:$I289 &amp; "" ("" &amp; 'Σύνοψη'!$J"&amp;"$2:$J289 &amp; "")"", 'Σύνοψη'!$F$2:$F289=$A213, 'Σύνοψη'!$G$2:$G289=$B213, 'Σύνοψη'!$C$2:$C289=H$3)), IF(SUMPRODUCT(('Σύνοψη'!$F$2:$F289=$A213)*('Σύνοψη'!$C$2:$C289=H$3)*('Σύνοψη'!$G$2:$G289&lt;$B213)*('Σύνοψη'!$H$2:$H289&gt;$B213))&gt;0, CHAR(34), """") ), """")"),"")</f>
        <v/>
      </c>
      <c r="I213" s="3"/>
    </row>
    <row r="214" spans="1:9" s="100" customFormat="1" ht="60" x14ac:dyDescent="0.25">
      <c r="A214" s="95">
        <f t="shared" si="14"/>
        <v>46283</v>
      </c>
      <c r="B214" s="89">
        <v>0.75</v>
      </c>
      <c r="C214" s="67" t="str">
        <f ca="1">IFERROR(__xludf.DUMMYFUNCTION("IFERROR(IF(SUMPRODUCT(('Σύνοψη'!$F$2:$F289=$A214)*('Σύνοψη'!$C$2:$C289=C$3)*('Σύνοψη'!$G$2:$G289=$B214))&gt;0,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'Σύνοψη'!$C$2:$C289=C$3)), IF(SUMPRODUCT(('Σύνοψη'!$F$2:$F289=$A214)*('Σύνοψη'!$C$2:$C289=C$3)*('Σύνοψη'!$G$2:$G289&lt;$B214)*('Σύνοψη'!$H$2:$H289&gt;$B214))&gt;0, CHAR(34), """") ), """")"),"")</f>
        <v/>
      </c>
      <c r="D214" s="67" t="str">
        <f ca="1">IFERROR(__xludf.DUMMYFUNCTION("IFERROR(IF(SUMPRODUCT(('Σύνοψη'!$F$2:$F289=$A214)*('Σύνοψη'!$C$2:$C289=D$3)*('Σύνοψη'!$G$2:$G289=$B214))&gt;0,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'Σύνοψη'!$C$2:$C289=D$3)), IF(SUMPRODUCT(('Σύνοψη'!$F$2:$F289=$A214)*('Σύνοψη'!$C$2:$C289=D$3)*('Σύνοψη'!$G$2:$G289&lt;$B214)*('Σύνοψη'!$H$2:$H289&gt;$B214))&gt;0, CHAR(34), """") ), """")"),"")</f>
        <v/>
      </c>
      <c r="E214" s="67" t="str">
        <f ca="1">IFERROR(__xludf.DUMMYFUNCTION("IFERROR(IF(SUMPRODUCT(('Σύνοψη'!$F$2:$F289=$A214)*('Σύνοψη'!$C$2:$C289=E$3)*('Σύνοψη'!$G$2:$G289=$B214))&gt;0,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'Σύνοψη'!$C$2:$C289=E$3)), IF(SUMPRODUCT(('Σύνοψη'!$F$2:$F289=$A214)*('Σύνοψη'!$C$2:$C289=E$3)*('Σύνοψη'!$G$2:$G289&lt;$B214)*('Σύνοψη'!$H$2:$H289&gt;$B214))&gt;0, CHAR(34), """") ), """")"),"")</f>
        <v/>
      </c>
      <c r="F214" s="67" t="str">
        <f ca="1">IFERROR(__xludf.DUMMYFUNCTION("IFERROR(IF(SUMPRODUCT(('Σύνοψη'!$F$2:$F289=$A214)*('Σύνοψη'!$C$2:$C289=F$3)*('Σύνοψη'!$G$2:$G289=$B214))&gt;0,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'Σύνοψη'!$C$2:$C289=F$3)), IF(SUMPRODUCT(('Σύνοψη'!$F$2:$F289=$A214)*('Σύνοψη'!$C$2:$C289=F$3)*('Σύνοψη'!$G$2:$G289&lt;$B214)*('Σύνοψη'!$H$2:$H289&gt;$B214))&gt;0, CHAR(34), """") ), """")"),"")</f>
        <v/>
      </c>
      <c r="G214" s="67" t="str">
        <f ca="1">IFERROR(__xludf.DUMMYFUNCTION("IFERROR(IF(SUMPRODUCT(('Σύνοψη'!$F$2:$F289=$A214)*('Σύνοψη'!$C$2:$C289=G$3)*('Σύνοψη'!$G$2:$G289=$B214))&gt;0,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'Σύνοψη'!$C$2:$C289=G$3)), IF(SUMPRODUCT(('Σύνοψη'!$F$2:$F289=$A214)*('Σύνοψη'!$C$2:$C289=G$3)*('Σύνοψη'!$G$2:$G289&lt;$B214)*('Σύνοψη'!$H$2:$H289&gt;$B214))&gt;0, CHAR(34), """") ), """")"),"Εξειδικευμένα Μαθήματα Αναπαραγωγής Βοοειδών - 18:00 - 20:00 (Αίθουσα έναντι Παθολογικής)")</f>
        <v>Εξειδικευμένα Μαθήματα Αναπαραγωγής Βοοειδών - 18:00 - 20:00 (Αίθουσα έναντι Παθολογικής)</v>
      </c>
      <c r="H214" s="67" t="str">
        <f ca="1">IFERROR(__xludf.DUMMYFUNCTION("IFERROR(IF(SUMPRODUCT(('Σύνοψη'!$F$2:$F289=$A214)*('Σύνοψη'!$C$2:$C289=H$3)*('Σύνοψη'!$G$2:$G289=$B214))&gt;0, TEXTJOIN(CHAR(10) &amp; ""-----------------------"" &amp; CHAR(10), TRUE, FILTER('Σύνοψη'!$E$2:$E289 &amp; "" - "" &amp; 'Σύνοψη'!$I$2:$I289 &amp; "" ("" &amp; 'Σύνοψη'!$J"&amp;"$2:$J289 &amp; "")"", 'Σύνοψη'!$F$2:$F289=$A214, 'Σύνοψη'!$G$2:$G289=$B214, 'Σύνοψη'!$C$2:$C289=H$3)), IF(SUMPRODUCT(('Σύνοψη'!$F$2:$F289=$A214)*('Σύνοψη'!$C$2:$C289=H$3)*('Σύνοψη'!$G$2:$G289&lt;$B214)*('Σύνοψη'!$H$2:$H289&gt;$B214))&gt;0, CHAR(34), """") ), """")"),"")</f>
        <v/>
      </c>
      <c r="I214" s="3"/>
    </row>
    <row r="215" spans="1:9" s="100" customFormat="1" x14ac:dyDescent="0.25">
      <c r="A215" s="95">
        <f t="shared" si="14"/>
        <v>46283</v>
      </c>
      <c r="B215" s="89">
        <v>0.79166666666666663</v>
      </c>
      <c r="C215" s="67" t="str">
        <f ca="1">IFERROR(__xludf.DUMMYFUNCTION("IFERROR(IF(SUMPRODUCT(('Σύνοψη'!$F$2:$F289=$A215)*('Σύνοψη'!$C$2:$C289=C$3)*('Σύνοψη'!$G$2:$G289=$B215))&gt;0,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'Σύνοψη'!$C$2:$C289=C$3)), IF(SUMPRODUCT(('Σύνοψη'!$F$2:$F289=$A215)*('Σύνοψη'!$C$2:$C289=C$3)*('Σύνοψη'!$G$2:$G289&lt;$B215)*('Σύνοψη'!$H$2:$H289&gt;$B215))&gt;0, CHAR(34), """") ), """")"),"")</f>
        <v/>
      </c>
      <c r="D215" s="67" t="str">
        <f ca="1">IFERROR(__xludf.DUMMYFUNCTION("IFERROR(IF(SUMPRODUCT(('Σύνοψη'!$F$2:$F289=$A215)*('Σύνοψη'!$C$2:$C289=D$3)*('Σύνοψη'!$G$2:$G289=$B215))&gt;0,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'Σύνοψη'!$C$2:$C289=D$3)), IF(SUMPRODUCT(('Σύνοψη'!$F$2:$F289=$A215)*('Σύνοψη'!$C$2:$C289=D$3)*('Σύνοψη'!$G$2:$G289&lt;$B215)*('Σύνοψη'!$H$2:$H289&gt;$B215))&gt;0, CHAR(34), """") ), """")"),"")</f>
        <v/>
      </c>
      <c r="E215" s="67" t="str">
        <f ca="1">IFERROR(__xludf.DUMMYFUNCTION("IFERROR(IF(SUMPRODUCT(('Σύνοψη'!$F$2:$F289=$A215)*('Σύνοψη'!$C$2:$C289=E$3)*('Σύνοψη'!$G$2:$G289=$B215))&gt;0,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'Σύνοψη'!$C$2:$C289=E$3)), IF(SUMPRODUCT(('Σύνοψη'!$F$2:$F289=$A215)*('Σύνοψη'!$C$2:$C289=E$3)*('Σύνοψη'!$G$2:$G289&lt;$B215)*('Σύνοψη'!$H$2:$H289&gt;$B215))&gt;0, CHAR(34), """") ), """")"),"")</f>
        <v/>
      </c>
      <c r="F215" s="67" t="str">
        <f ca="1">IFERROR(__xludf.DUMMYFUNCTION("IFERROR(IF(SUMPRODUCT(('Σύνοψη'!$F$2:$F289=$A215)*('Σύνοψη'!$C$2:$C289=F$3)*('Σύνοψη'!$G$2:$G289=$B215))&gt;0,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'Σύνοψη'!$C$2:$C289=F$3)), IF(SUMPRODUCT(('Σύνοψη'!$F$2:$F289=$A215)*('Σύνοψη'!$C$2:$C289=F$3)*('Σύνοψη'!$G$2:$G289&lt;$B215)*('Σύνοψη'!$H$2:$H289&gt;$B215))&gt;0, CHAR(34), """") ), """")"),"")</f>
        <v/>
      </c>
      <c r="G215" s="67" t="str">
        <f ca="1">IFERROR(__xludf.DUMMYFUNCTION("IFERROR(IF(SUMPRODUCT(('Σύνοψη'!$F$2:$F289=$A215)*('Σύνοψη'!$C$2:$C289=G$3)*('Σύνοψη'!$G$2:$G289=$B215))&gt;0,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'Σύνοψη'!$C$2:$C289=G$3)), IF(SUMPRODUCT(('Σύνοψη'!$F$2:$F289=$A215)*('Σύνοψη'!$C$2:$C289=G$3)*('Σύνοψη'!$G$2:$G289&lt;$B215)*('Σύνοψη'!$H$2:$H289&gt;$B215))&gt;0, CHAR(34), """") ), """")"),"""")</f>
        <v>"</v>
      </c>
      <c r="H215" s="67" t="str">
        <f ca="1">IFERROR(__xludf.DUMMYFUNCTION("IFERROR(IF(SUMPRODUCT(('Σύνοψη'!$F$2:$F289=$A215)*('Σύνοψη'!$C$2:$C289=H$3)*('Σύνοψη'!$G$2:$G289=$B215))&gt;0, TEXTJOIN(CHAR(10) &amp; ""-----------------------"" &amp; CHAR(10), TRUE, FILTER('Σύνοψη'!$E$2:$E289 &amp; "" - "" &amp; 'Σύνοψη'!$I$2:$I289 &amp; "" ("" &amp; 'Σύνοψη'!$J"&amp;"$2:$J289 &amp; "")"", 'Σύνοψη'!$F$2:$F289=$A215, 'Σύνοψη'!$G$2:$G289=$B215, 'Σύνοψη'!$C$2:$C289=H$3)), IF(SUMPRODUCT(('Σύνοψη'!$F$2:$F289=$A215)*('Σύνοψη'!$C$2:$C289=H$3)*('Σύνοψη'!$G$2:$G289&lt;$B215)*('Σύνοψη'!$H$2:$H289&gt;$B215))&gt;0, CHAR(34), """") ), """")"),"")</f>
        <v/>
      </c>
      <c r="I215" s="3"/>
    </row>
    <row r="216" spans="1:9" s="100" customFormat="1" x14ac:dyDescent="0.25">
      <c r="A216" s="95">
        <f t="shared" si="14"/>
        <v>46283</v>
      </c>
      <c r="B216" s="89">
        <v>0.83333333333333337</v>
      </c>
      <c r="C216" s="67" t="str">
        <f ca="1">IFERROR(__xludf.DUMMYFUNCTION("IFERROR(IF(SUMPRODUCT(('Σύνοψη'!$F$2:$F289=$A216)*('Σύνοψη'!$C$2:$C289=C$3)*('Σύνοψη'!$G$2:$G289=$B216))&gt;0,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'Σύνοψη'!$C$2:$C289=C$3)), IF(SUMPRODUCT(('Σύνοψη'!$F$2:$F289=$A216)*('Σύνοψη'!$C$2:$C289=C$3)*('Σύνοψη'!$G$2:$G289&lt;$B216)*('Σύνοψη'!$H$2:$H289&gt;$B216))&gt;0, CHAR(34), """") ), """")"),"")</f>
        <v/>
      </c>
      <c r="D216" s="67" t="str">
        <f ca="1">IFERROR(__xludf.DUMMYFUNCTION("IFERROR(IF(SUMPRODUCT(('Σύνοψη'!$F$2:$F289=$A216)*('Σύνοψη'!$C$2:$C289=D$3)*('Σύνοψη'!$G$2:$G289=$B216))&gt;0,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'Σύνοψη'!$C$2:$C289=D$3)), IF(SUMPRODUCT(('Σύνοψη'!$F$2:$F289=$A216)*('Σύνοψη'!$C$2:$C289=D$3)*('Σύνοψη'!$G$2:$G289&lt;$B216)*('Σύνοψη'!$H$2:$H289&gt;$B216))&gt;0, CHAR(34), """") ), """")"),"")</f>
        <v/>
      </c>
      <c r="E216" s="67" t="str">
        <f ca="1">IFERROR(__xludf.DUMMYFUNCTION("IFERROR(IF(SUMPRODUCT(('Σύνοψη'!$F$2:$F289=$A216)*('Σύνοψη'!$C$2:$C289=E$3)*('Σύνοψη'!$G$2:$G289=$B216))&gt;0,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'Σύνοψη'!$C$2:$C289=E$3)), IF(SUMPRODUCT(('Σύνοψη'!$F$2:$F289=$A216)*('Σύνοψη'!$C$2:$C289=E$3)*('Σύνοψη'!$G$2:$G289&lt;$B216)*('Σύνοψη'!$H$2:$H289&gt;$B216))&gt;0, CHAR(34), """") ), """")"),"")</f>
        <v/>
      </c>
      <c r="F216" s="67" t="str">
        <f ca="1">IFERROR(__xludf.DUMMYFUNCTION("IFERROR(IF(SUMPRODUCT(('Σύνοψη'!$F$2:$F289=$A216)*('Σύνοψη'!$C$2:$C289=F$3)*('Σύνοψη'!$G$2:$G289=$B216))&gt;0,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'Σύνοψη'!$C$2:$C289=F$3)), IF(SUMPRODUCT(('Σύνοψη'!$F$2:$F289=$A216)*('Σύνοψη'!$C$2:$C289=F$3)*('Σύνοψη'!$G$2:$G289&lt;$B216)*('Σύνοψη'!$H$2:$H289&gt;$B216))&gt;0, CHAR(34), """") ), """")"),"")</f>
        <v/>
      </c>
      <c r="G216" s="67" t="str">
        <f ca="1">IFERROR(__xludf.DUMMYFUNCTION("IFERROR(IF(SUMPRODUCT(('Σύνοψη'!$F$2:$F289=$A216)*('Σύνοψη'!$C$2:$C289=G$3)*('Σύνοψη'!$G$2:$G289=$B216))&gt;0,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'Σύνοψη'!$C$2:$C289=G$3)), IF(SUMPRODUCT(('Σύνοψη'!$F$2:$F289=$A216)*('Σύνοψη'!$C$2:$C289=G$3)*('Σύνοψη'!$G$2:$G289&lt;$B216)*('Σύνοψη'!$H$2:$H289&gt;$B216))&gt;0, CHAR(34), """") ), """")"),"")</f>
        <v/>
      </c>
      <c r="H216" s="67" t="str">
        <f ca="1">IFERROR(__xludf.DUMMYFUNCTION("IFERROR(IF(SUMPRODUCT(('Σύνοψη'!$F$2:$F289=$A216)*('Σύνοψη'!$C$2:$C289=H$3)*('Σύνοψη'!$G$2:$G289=$B216))&gt;0, TEXTJOIN(CHAR(10) &amp; ""-----------------------"" &amp; CHAR(10), TRUE, FILTER('Σύνοψη'!$E$2:$E289 &amp; "" - "" &amp; 'Σύνοψη'!$I$2:$I289 &amp; "" ("" &amp; 'Σύνοψη'!$J"&amp;"$2:$J289 &amp; "")"", 'Σύνοψη'!$F$2:$F289=$A216, 'Σύνοψη'!$G$2:$G289=$B216, 'Σύνοψη'!$C$2:$C289=H$3)), IF(SUMPRODUCT(('Σύνοψη'!$F$2:$F289=$A216)*('Σύνοψη'!$C$2:$C289=H$3)*('Σύνοψη'!$G$2:$G289&lt;$B216)*('Σύνοψη'!$H$2:$H289&gt;$B216))&gt;0, CHAR(34), """") ), """")"),"")</f>
        <v/>
      </c>
      <c r="I216" s="3"/>
    </row>
    <row r="217" spans="1:9" s="100" customFormat="1" x14ac:dyDescent="0.25">
      <c r="A217" s="96">
        <f t="shared" si="14"/>
        <v>46283</v>
      </c>
      <c r="B217" s="97">
        <v>0.875</v>
      </c>
      <c r="C217" s="67" t="str">
        <f ca="1">IFERROR(__xludf.DUMMYFUNCTION("IFERROR(IF(SUMPRODUCT(('Σύνοψη'!$F$2:$F289=$A217)*('Σύνοψη'!$C$2:$C289=C$3)*('Σύνοψη'!$G$2:$G289=$B217))&gt;0,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'Σύνοψη'!$C$2:$C289=C$3)), IF(SUMPRODUCT(('Σύνοψη'!$F$2:$F289=$A217)*('Σύνοψη'!$C$2:$C289=C$3)*('Σύνοψη'!$G$2:$G289&lt;$B217)*('Σύνοψη'!$H$2:$H289&gt;$B217))&gt;0, CHAR(34), """") ), """")"),"")</f>
        <v/>
      </c>
      <c r="D217" s="67" t="str">
        <f ca="1">IFERROR(__xludf.DUMMYFUNCTION("IFERROR(IF(SUMPRODUCT(('Σύνοψη'!$F$2:$F289=$A217)*('Σύνοψη'!$C$2:$C289=D$3)*('Σύνοψη'!$G$2:$G289=$B217))&gt;0,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'Σύνοψη'!$C$2:$C289=D$3)), IF(SUMPRODUCT(('Σύνοψη'!$F$2:$F289=$A217)*('Σύνοψη'!$C$2:$C289=D$3)*('Σύνοψη'!$G$2:$G289&lt;$B217)*('Σύνοψη'!$H$2:$H289&gt;$B217))&gt;0, CHAR(34), """") ), """")"),"")</f>
        <v/>
      </c>
      <c r="E217" s="67" t="str">
        <f ca="1">IFERROR(__xludf.DUMMYFUNCTION("IFERROR(IF(SUMPRODUCT(('Σύνοψη'!$F$2:$F289=$A217)*('Σύνοψη'!$C$2:$C289=E$3)*('Σύνοψη'!$G$2:$G289=$B217))&gt;0,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'Σύνοψη'!$C$2:$C289=E$3)), IF(SUMPRODUCT(('Σύνοψη'!$F$2:$F289=$A217)*('Σύνοψη'!$C$2:$C289=E$3)*('Σύνοψη'!$G$2:$G289&lt;$B217)*('Σύνοψη'!$H$2:$H289&gt;$B217))&gt;0, CHAR(34), """") ), """")"),"")</f>
        <v/>
      </c>
      <c r="F217" s="67" t="str">
        <f ca="1">IFERROR(__xludf.DUMMYFUNCTION("IFERROR(IF(SUMPRODUCT(('Σύνοψη'!$F$2:$F289=$A217)*('Σύνοψη'!$C$2:$C289=F$3)*('Σύνοψη'!$G$2:$G289=$B217))&gt;0,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'Σύνοψη'!$C$2:$C289=F$3)), IF(SUMPRODUCT(('Σύνοψη'!$F$2:$F289=$A217)*('Σύνοψη'!$C$2:$C289=F$3)*('Σύνοψη'!$G$2:$G289&lt;$B217)*('Σύνοψη'!$H$2:$H289&gt;$B217))&gt;0, CHAR(34), """") ), """")"),"")</f>
        <v/>
      </c>
      <c r="G217" s="67" t="str">
        <f ca="1">IFERROR(__xludf.DUMMYFUNCTION("IFERROR(IF(SUMPRODUCT(('Σύνοψη'!$F$2:$F289=$A217)*('Σύνοψη'!$C$2:$C289=G$3)*('Σύνοψη'!$G$2:$G289=$B217))&gt;0,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'Σύνοψη'!$C$2:$C289=G$3)), IF(SUMPRODUCT(('Σύνοψη'!$F$2:$F289=$A217)*('Σύνοψη'!$C$2:$C289=G$3)*('Σύνοψη'!$G$2:$G289&lt;$B217)*('Σύνοψη'!$H$2:$H289&gt;$B217))&gt;0, CHAR(34), """") ), """")"),"")</f>
        <v/>
      </c>
      <c r="H217" s="67" t="str">
        <f ca="1">IFERROR(__xludf.DUMMYFUNCTION("IFERROR(IF(SUMPRODUCT(('Σύνοψη'!$F$2:$F289=$A217)*('Σύνοψη'!$C$2:$C289=H$3)*('Σύνοψη'!$G$2:$G289=$B217))&gt;0, TEXTJOIN(CHAR(10) &amp; ""-----------------------"" &amp; CHAR(10), TRUE, FILTER('Σύνοψη'!$E$2:$E289 &amp; "" - "" &amp; 'Σύνοψη'!$I$2:$I289 &amp; "" ("" &amp; 'Σύνοψη'!$J"&amp;"$2:$J289 &amp; "")"", 'Σύνοψη'!$F$2:$F289=$A217, 'Σύνοψη'!$G$2:$G289=$B217, 'Σύνοψη'!$C$2:$C289=H$3)), IF(SUMPRODUCT(('Σύνοψη'!$F$2:$F289=$A217)*('Σύνοψη'!$C$2:$C289=H$3)*('Σύνοψη'!$G$2:$G289&lt;$B217)*('Σύνοψη'!$H$2:$H289&gt;$B217))&gt;0, CHAR(34), """") ), """")"),"")</f>
        <v/>
      </c>
      <c r="I217" s="3"/>
    </row>
    <row r="218" spans="1:9" x14ac:dyDescent="0.25">
      <c r="A218" s="98">
        <f>$D$1+19</f>
        <v>46284</v>
      </c>
      <c r="B218" s="89"/>
      <c r="C218" s="66" t="str">
        <f ca="1">IFERROR(__xludf.DUMMYFUNCTION("IFERROR(IF(SUMPRODUCT(('Σύνοψη'!$F$2:$F289=$A218)*('Σύνοψη'!$C$2:$C289=C$3)*('Σύνοψη'!$G$2:$G289=$B218))&gt;0,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'Σύνοψη'!$C$2:$C289=C$3)), IF(SUMPRODUCT(('Σύνοψη'!$F$2:$F289=$A218)*('Σύνοψη'!$C$2:$C289=C$3)*('Σύνοψη'!$G$2:$G289&lt;$B218)*('Σύνοψη'!$H$2:$H289&gt;$B218))&gt;0, CHAR(34), """") ), """")"),"")</f>
        <v/>
      </c>
      <c r="D218" s="66" t="str">
        <f ca="1">IFERROR(__xludf.DUMMYFUNCTION("IFERROR(IF(SUMPRODUCT(('Σύνοψη'!$F$2:$F289=$A218)*('Σύνοψη'!$C$2:$C289=D$3)*('Σύνοψη'!$G$2:$G289=$B218))&gt;0,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'Σύνοψη'!$C$2:$C289=D$3)), IF(SUMPRODUCT(('Σύνοψη'!$F$2:$F289=$A218)*('Σύνοψη'!$C$2:$C289=D$3)*('Σύνοψη'!$G$2:$G289&lt;$B218)*('Σύνοψη'!$H$2:$H289&gt;$B218))&gt;0, CHAR(34), """") ), """")"),"")</f>
        <v/>
      </c>
      <c r="E218" s="66" t="str">
        <f ca="1">IFERROR(__xludf.DUMMYFUNCTION("IFERROR(IF(SUMPRODUCT(('Σύνοψη'!$F$2:$F289=$A218)*('Σύνοψη'!$C$2:$C289=E$3)*('Σύνοψη'!$G$2:$G289=$B218))&gt;0,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'Σύνοψη'!$C$2:$C289=E$3)), IF(SUMPRODUCT(('Σύνοψη'!$F$2:$F289=$A218)*('Σύνοψη'!$C$2:$C289=E$3)*('Σύνοψη'!$G$2:$G289&lt;$B218)*('Σύνοψη'!$H$2:$H289&gt;$B218))&gt;0, CHAR(34), """") ), """")"),"")</f>
        <v/>
      </c>
      <c r="F218" s="66" t="str">
        <f ca="1">IFERROR(__xludf.DUMMYFUNCTION("IFERROR(IF(SUMPRODUCT(('Σύνοψη'!$F$2:$F289=$A218)*('Σύνοψη'!$C$2:$C289=F$3)*('Σύνοψη'!$G$2:$G289=$B218))&gt;0,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'Σύνοψη'!$C$2:$C289=F$3)), IF(SUMPRODUCT(('Σύνοψη'!$F$2:$F289=$A218)*('Σύνοψη'!$C$2:$C289=F$3)*('Σύνοψη'!$G$2:$G289&lt;$B218)*('Σύνοψη'!$H$2:$H289&gt;$B218))&gt;0, CHAR(34), """") ), """")"),"")</f>
        <v/>
      </c>
      <c r="G218" s="66" t="str">
        <f ca="1">IFERROR(__xludf.DUMMYFUNCTION("IFERROR(IF(SUMPRODUCT(('Σύνοψη'!$F$2:$F289=$A218)*('Σύνοψη'!$C$2:$C289=G$3)*('Σύνοψη'!$G$2:$G289=$B218))&gt;0,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'Σύνοψη'!$C$2:$C289=G$3)), IF(SUMPRODUCT(('Σύνοψη'!$F$2:$F289=$A218)*('Σύνοψη'!$C$2:$C289=G$3)*('Σύνοψη'!$G$2:$G289&lt;$B218)*('Σύνοψη'!$H$2:$H289&gt;$B218))&gt;0, CHAR(34), """") ), """")"),"")</f>
        <v/>
      </c>
      <c r="H218" s="66" t="str">
        <f ca="1">IFERROR(__xludf.DUMMYFUNCTION("IFERROR(IF(SUMPRODUCT(('Σύνοψη'!$F$2:$F289=$A218)*('Σύνοψη'!$C$2:$C289=H$3)*('Σύνοψη'!$G$2:$G289=$B218))&gt;0, TEXTJOIN(CHAR(10) &amp; ""-----------------------"" &amp; CHAR(10), TRUE, FILTER('Σύνοψη'!$E$2:$E289 &amp; "" - "" &amp; 'Σύνοψη'!$I$2:$I289 &amp; "" ("" &amp; 'Σύνοψη'!$J"&amp;"$2:$J289 &amp; "")"", 'Σύνοψη'!$F$2:$F289=$A218, 'Σύνοψη'!$G$2:$G289=$B218, 'Σύνοψη'!$C$2:$C289=H$3)), IF(SUMPRODUCT(('Σύνοψη'!$F$2:$F289=$A218)*('Σύνοψη'!$C$2:$C289=H$3)*('Σύνοψη'!$G$2:$G289&lt;$B218)*('Σύνοψη'!$H$2:$H289&gt;$B218))&gt;0, CHAR(34), """") ), """")"),"")</f>
        <v/>
      </c>
      <c r="I218" s="3"/>
    </row>
    <row r="219" spans="1:9" x14ac:dyDescent="0.25">
      <c r="A219" s="93">
        <f>$D$1+20</f>
        <v>46285</v>
      </c>
      <c r="B219" s="94"/>
      <c r="C219" s="66" t="str">
        <f ca="1">IFERROR(__xludf.DUMMYFUNCTION("IFERROR(IF(SUMPRODUCT(('Σύνοψη'!$F$2:$F289=$A219)*('Σύνοψη'!$C$2:$C289=C$3)*('Σύνοψη'!$G$2:$G289=$B219))&gt;0,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'Σύνοψη'!$C$2:$C289=C$3)), IF(SUMPRODUCT(('Σύνοψη'!$F$2:$F289=$A219)*('Σύνοψη'!$C$2:$C289=C$3)*('Σύνοψη'!$G$2:$G289&lt;$B219)*('Σύνοψη'!$H$2:$H289&gt;$B219))&gt;0, CHAR(34), """") ), """")"),"")</f>
        <v/>
      </c>
      <c r="D219" s="66" t="str">
        <f ca="1">IFERROR(__xludf.DUMMYFUNCTION("IFERROR(IF(SUMPRODUCT(('Σύνοψη'!$F$2:$F289=$A219)*('Σύνοψη'!$C$2:$C289=D$3)*('Σύνοψη'!$G$2:$G289=$B219))&gt;0,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'Σύνοψη'!$C$2:$C289=D$3)), IF(SUMPRODUCT(('Σύνοψη'!$F$2:$F289=$A219)*('Σύνοψη'!$C$2:$C289=D$3)*('Σύνοψη'!$G$2:$G289&lt;$B219)*('Σύνοψη'!$H$2:$H289&gt;$B219))&gt;0, CHAR(34), """") ), """")"),"")</f>
        <v/>
      </c>
      <c r="E219" s="66" t="str">
        <f ca="1">IFERROR(__xludf.DUMMYFUNCTION("IFERROR(IF(SUMPRODUCT(('Σύνοψη'!$F$2:$F289=$A219)*('Σύνοψη'!$C$2:$C289=E$3)*('Σύνοψη'!$G$2:$G289=$B219))&gt;0,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'Σύνοψη'!$C$2:$C289=E$3)), IF(SUMPRODUCT(('Σύνοψη'!$F$2:$F289=$A219)*('Σύνοψη'!$C$2:$C289=E$3)*('Σύνοψη'!$G$2:$G289&lt;$B219)*('Σύνοψη'!$H$2:$H289&gt;$B219))&gt;0, CHAR(34), """") ), """")"),"")</f>
        <v/>
      </c>
      <c r="F219" s="66" t="str">
        <f ca="1">IFERROR(__xludf.DUMMYFUNCTION("IFERROR(IF(SUMPRODUCT(('Σύνοψη'!$F$2:$F289=$A219)*('Σύνοψη'!$C$2:$C289=F$3)*('Σύνοψη'!$G$2:$G289=$B219))&gt;0,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'Σύνοψη'!$C$2:$C289=F$3)), IF(SUMPRODUCT(('Σύνοψη'!$F$2:$F289=$A219)*('Σύνοψη'!$C$2:$C289=F$3)*('Σύνοψη'!$G$2:$G289&lt;$B219)*('Σύνοψη'!$H$2:$H289&gt;$B219))&gt;0, CHAR(34), """") ), """")"),"")</f>
        <v/>
      </c>
      <c r="G219" s="66" t="str">
        <f ca="1">IFERROR(__xludf.DUMMYFUNCTION("IFERROR(IF(SUMPRODUCT(('Σύνοψη'!$F$2:$F289=$A219)*('Σύνοψη'!$C$2:$C289=G$3)*('Σύνοψη'!$G$2:$G289=$B219))&gt;0,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'Σύνοψη'!$C$2:$C289=G$3)), IF(SUMPRODUCT(('Σύνοψη'!$F$2:$F289=$A219)*('Σύνοψη'!$C$2:$C289=G$3)*('Σύνοψη'!$G$2:$G289&lt;$B219)*('Σύνοψη'!$H$2:$H289&gt;$B219))&gt;0, CHAR(34), """") ), """")"),"")</f>
        <v/>
      </c>
      <c r="H219" s="66" t="str">
        <f ca="1">IFERROR(__xludf.DUMMYFUNCTION("IFERROR(IF(SUMPRODUCT(('Σύνοψη'!$F$2:$F289=$A219)*('Σύνοψη'!$C$2:$C289=H$3)*('Σύνοψη'!$G$2:$G289=$B219))&gt;0, TEXTJOIN(CHAR(10) &amp; ""-----------------------"" &amp; CHAR(10), TRUE, FILTER('Σύνοψη'!$E$2:$E289 &amp; "" - "" &amp; 'Σύνοψη'!$I$2:$I289 &amp; "" ("" &amp; 'Σύνοψη'!$J"&amp;"$2:$J289 &amp; "")"", 'Σύνοψη'!$F$2:$F289=$A219, 'Σύνοψη'!$G$2:$G289=$B219, 'Σύνοψη'!$C$2:$C289=H$3)), IF(SUMPRODUCT(('Σύνοψη'!$F$2:$F289=$A219)*('Σύνοψη'!$C$2:$C289=H$3)*('Σύνοψη'!$G$2:$G289&lt;$B219)*('Σύνοψη'!$H$2:$H289&gt;$B219))&gt;0, CHAR(34), """") ), """")"),"")</f>
        <v/>
      </c>
      <c r="I219" s="3"/>
    </row>
    <row r="220" spans="1:9" x14ac:dyDescent="0.25">
      <c r="A220" s="93">
        <f>$D$1+21</f>
        <v>46286</v>
      </c>
      <c r="B220" s="94">
        <v>0.33333333333333331</v>
      </c>
      <c r="C220" s="66" t="str">
        <f ca="1">IFERROR(__xludf.DUMMYFUNCTION("IFERROR(IF(SUMPRODUCT(('Σύνοψη'!$F$2:$F289=$A220)*('Σύνοψη'!$C$2:$C289=C$3)*('Σύνοψη'!$G$2:$G289=$B220))&gt;0,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'Σύνοψη'!$C$2:$C289=C$3)), IF(SUMPRODUCT(('Σύνοψη'!$F$2:$F289=$A220)*('Σύνοψη'!$C$2:$C289=C$3)*('Σύνοψη'!$G$2:$G289&lt;$B220)*('Σύνοψη'!$H$2:$H289&gt;$B220))&gt;0, CHAR(34), """") ), """")"),"")</f>
        <v/>
      </c>
      <c r="D220" s="66" t="str">
        <f ca="1">IFERROR(__xludf.DUMMYFUNCTION("IFERROR(IF(SUMPRODUCT(('Σύνοψη'!$F$2:$F289=$A220)*('Σύνοψη'!$C$2:$C289=D$3)*('Σύνοψη'!$G$2:$G289=$B220))&gt;0,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'Σύνοψη'!$C$2:$C289=D$3)), IF(SUMPRODUCT(('Σύνοψη'!$F$2:$F289=$A220)*('Σύνοψη'!$C$2:$C289=D$3)*('Σύνοψη'!$G$2:$G289&lt;$B220)*('Σύνοψη'!$H$2:$H289&gt;$B220))&gt;0, CHAR(34), """") ), """")"),"")</f>
        <v/>
      </c>
      <c r="E220" s="66" t="str">
        <f ca="1">IFERROR(__xludf.DUMMYFUNCTION("IFERROR(IF(SUMPRODUCT(('Σύνοψη'!$F$2:$F289=$A220)*('Σύνοψη'!$C$2:$C289=E$3)*('Σύνοψη'!$G$2:$G289=$B220))&gt;0,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'Σύνοψη'!$C$2:$C289=E$3)), IF(SUMPRODUCT(('Σύνοψη'!$F$2:$F289=$A220)*('Σύνοψη'!$C$2:$C289=E$3)*('Σύνοψη'!$G$2:$G289&lt;$B220)*('Σύνοψη'!$H$2:$H289&gt;$B220))&gt;0, CHAR(34), """") ), """")"),"")</f>
        <v/>
      </c>
      <c r="F220" s="66" t="str">
        <f ca="1">IFERROR(__xludf.DUMMYFUNCTION("IFERROR(IF(SUMPRODUCT(('Σύνοψη'!$F$2:$F289=$A220)*('Σύνοψη'!$C$2:$C289=F$3)*('Σύνοψη'!$G$2:$G289=$B220))&gt;0,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'Σύνοψη'!$C$2:$C289=F$3)), IF(SUMPRODUCT(('Σύνοψη'!$F$2:$F289=$A220)*('Σύνοψη'!$C$2:$C289=F$3)*('Σύνοψη'!$G$2:$G289&lt;$B220)*('Σύνοψη'!$H$2:$H289&gt;$B220))&gt;0, CHAR(34), """") ), """")"),"")</f>
        <v/>
      </c>
      <c r="G220" s="66" t="str">
        <f ca="1">IFERROR(__xludf.DUMMYFUNCTION("IFERROR(IF(SUMPRODUCT(('Σύνοψη'!$F$2:$F289=$A220)*('Σύνοψη'!$C$2:$C289=G$3)*('Σύνοψη'!$G$2:$G289=$B220))&gt;0,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'Σύνοψη'!$C$2:$C289=G$3)), IF(SUMPRODUCT(('Σύνοψη'!$F$2:$F289=$A220)*('Σύνοψη'!$C$2:$C289=G$3)*('Σύνοψη'!$G$2:$G289&lt;$B220)*('Σύνοψη'!$H$2:$H289&gt;$B220))&gt;0, CHAR(34), """") ), """")"),"")</f>
        <v/>
      </c>
      <c r="H220" s="66" t="str">
        <f ca="1">IFERROR(__xludf.DUMMYFUNCTION("IFERROR(IF(SUMPRODUCT(('Σύνοψη'!$F$2:$F289=$A220)*('Σύνοψη'!$C$2:$C289=H$3)*('Σύνοψη'!$G$2:$G289=$B220))&gt;0, TEXTJOIN(CHAR(10) &amp; ""-----------------------"" &amp; CHAR(10), TRUE, FILTER('Σύνοψη'!$E$2:$E289 &amp; "" - "" &amp; 'Σύνοψη'!$I$2:$I289 &amp; "" ("" &amp; 'Σύνοψη'!$J"&amp;"$2:$J289 &amp; "")"", 'Σύνοψη'!$F$2:$F289=$A220, 'Σύνοψη'!$G$2:$G289=$B220, 'Σύνοψη'!$C$2:$C289=H$3)), IF(SUMPRODUCT(('Σύνοψη'!$F$2:$F289=$A220)*('Σύνοψη'!$C$2:$C289=H$3)*('Σύνοψη'!$G$2:$G289&lt;$B220)*('Σύνοψη'!$H$2:$H289&gt;$B220))&gt;0, CHAR(34), """") ), """")"),"")</f>
        <v/>
      </c>
      <c r="I220" s="3"/>
    </row>
    <row r="221" spans="1:9" x14ac:dyDescent="0.25">
      <c r="A221" s="95">
        <f t="shared" ref="A221:A233" si="15">$A$220</f>
        <v>46286</v>
      </c>
      <c r="B221" s="89">
        <v>0.375</v>
      </c>
      <c r="C221" s="67" t="str">
        <f ca="1">IFERROR(__xludf.DUMMYFUNCTION("IFERROR(IF(SUMPRODUCT(('Σύνοψη'!$F$2:$F289=$A221)*('Σύνοψη'!$C$2:$C289=C$3)*('Σύνοψη'!$G$2:$G289=$B221))&gt;0,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'Σύνοψη'!$C$2:$C289=C$3)), IF(SUMPRODUCT(('Σύνοψη'!$F$2:$F289=$A221)*('Σύνοψη'!$C$2:$C289=C$3)*('Σύνοψη'!$G$2:$G289&lt;$B221)*('Σύνοψη'!$H$2:$H289&gt;$B221))&gt;0, CHAR(34), """") ), """")"),"")</f>
        <v/>
      </c>
      <c r="D221" s="67" t="str">
        <f ca="1">IFERROR(__xludf.DUMMYFUNCTION("IFERROR(IF(SUMPRODUCT(('Σύνοψη'!$F$2:$F289=$A221)*('Σύνοψη'!$C$2:$C289=D$3)*('Σύνοψη'!$G$2:$G289=$B221))&gt;0,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'Σύνοψη'!$C$2:$C289=D$3)), IF(SUMPRODUCT(('Σύνοψη'!$F$2:$F289=$A221)*('Σύνοψη'!$C$2:$C289=D$3)*('Σύνοψη'!$G$2:$G289&lt;$B221)*('Σύνοψη'!$H$2:$H289&gt;$B221))&gt;0, CHAR(34), """") ), """")"),"")</f>
        <v/>
      </c>
      <c r="E221" s="67" t="str">
        <f ca="1">IFERROR(__xludf.DUMMYFUNCTION("IFERROR(IF(SUMPRODUCT(('Σύνοψη'!$F$2:$F289=$A221)*('Σύνοψη'!$C$2:$C289=E$3)*('Σύνοψη'!$G$2:$G289=$B221))&gt;0,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'Σύνοψη'!$C$2:$C289=E$3)), IF(SUMPRODUCT(('Σύνοψη'!$F$2:$F289=$A221)*('Σύνοψη'!$C$2:$C289=E$3)*('Σύνοψη'!$G$2:$G289&lt;$B221)*('Σύνοψη'!$H$2:$H289&gt;$B221))&gt;0, CHAR(34), """") ), """")"),"")</f>
        <v/>
      </c>
      <c r="F221" s="67" t="str">
        <f ca="1">IFERROR(__xludf.DUMMYFUNCTION("IFERROR(IF(SUMPRODUCT(('Σύνοψη'!$F$2:$F289=$A221)*('Σύνοψη'!$C$2:$C289=F$3)*('Σύνοψη'!$G$2:$G289=$B221))&gt;0,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'Σύνοψη'!$C$2:$C289=F$3)), IF(SUMPRODUCT(('Σύνοψη'!$F$2:$F289=$A221)*('Σύνοψη'!$C$2:$C289=F$3)*('Σύνοψη'!$G$2:$G289&lt;$B221)*('Σύνοψη'!$H$2:$H289&gt;$B221))&gt;0, CHAR(34), """") ), """")"),"")</f>
        <v/>
      </c>
      <c r="G221" s="67" t="str">
        <f ca="1">IFERROR(__xludf.DUMMYFUNCTION("IFERROR(IF(SUMPRODUCT(('Σύνοψη'!$F$2:$F289=$A221)*('Σύνοψη'!$C$2:$C289=G$3)*('Σύνοψη'!$G$2:$G289=$B221))&gt;0,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'Σύνοψη'!$C$2:$C289=G$3)), IF(SUMPRODUCT(('Σύνοψη'!$F$2:$F289=$A221)*('Σύνοψη'!$C$2:$C289=G$3)*('Σύνοψη'!$G$2:$G289&lt;$B221)*('Σύνοψη'!$H$2:$H289&gt;$B221))&gt;0, CHAR(34), """") ), """")"),"")</f>
        <v/>
      </c>
      <c r="H221" s="67" t="str">
        <f ca="1">IFERROR(__xludf.DUMMYFUNCTION("IFERROR(IF(SUMPRODUCT(('Σύνοψη'!$F$2:$F289=$A221)*('Σύνοψη'!$C$2:$C289=H$3)*('Σύνοψη'!$G$2:$G289=$B221))&gt;0, TEXTJOIN(CHAR(10) &amp; ""-----------------------"" &amp; CHAR(10), TRUE, FILTER('Σύνοψη'!$E$2:$E289 &amp; "" - "" &amp; 'Σύνοψη'!$I$2:$I289 &amp; "" ("" &amp; 'Σύνοψη'!$J"&amp;"$2:$J289 &amp; "")"", 'Σύνοψη'!$F$2:$F289=$A221, 'Σύνοψη'!$G$2:$G289=$B221, 'Σύνοψη'!$C$2:$C289=H$3)), IF(SUMPRODUCT(('Σύνοψη'!$F$2:$F289=$A221)*('Σύνοψη'!$C$2:$C289=H$3)*('Σύνοψη'!$G$2:$G289&lt;$B221)*('Σύνοψη'!$H$2:$H289&gt;$B221))&gt;0, CHAR(34), """") ), """")"),"")</f>
        <v/>
      </c>
      <c r="I221" s="3"/>
    </row>
    <row r="222" spans="1:9" x14ac:dyDescent="0.25">
      <c r="A222" s="95">
        <f t="shared" si="15"/>
        <v>46286</v>
      </c>
      <c r="B222" s="89">
        <v>0.41666666666666669</v>
      </c>
      <c r="C222" s="67" t="str">
        <f ca="1">IFERROR(__xludf.DUMMYFUNCTION("IFERROR(IF(SUMPRODUCT(('Σύνοψη'!$F$2:$F289=$A222)*('Σύνοψη'!$C$2:$C289=C$3)*('Σύνοψη'!$G$2:$G289=$B222))&gt;0,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'Σύνοψη'!$C$2:$C289=C$3)), IF(SUMPRODUCT(('Σύνοψη'!$F$2:$F289=$A222)*('Σύνοψη'!$C$2:$C289=C$3)*('Σύνοψη'!$G$2:$G289&lt;$B222)*('Σύνοψη'!$H$2:$H289&gt;$B222))&gt;0, CHAR(34), """") ), """")"),"")</f>
        <v/>
      </c>
      <c r="D222" s="67" t="str">
        <f ca="1">IFERROR(__xludf.DUMMYFUNCTION("IFERROR(IF(SUMPRODUCT(('Σύνοψη'!$F$2:$F289=$A222)*('Σύνοψη'!$C$2:$C289=D$3)*('Σύνοψη'!$G$2:$G289=$B222))&gt;0,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'Σύνοψη'!$C$2:$C289=D$3)), IF(SUMPRODUCT(('Σύνοψη'!$F$2:$F289=$A222)*('Σύνοψη'!$C$2:$C289=D$3)*('Σύνοψη'!$G$2:$G289&lt;$B222)*('Σύνοψη'!$H$2:$H289&gt;$B222))&gt;0, CHAR(34), """") ), """")"),"")</f>
        <v/>
      </c>
      <c r="E222" s="67" t="str">
        <f ca="1">IFERROR(__xludf.DUMMYFUNCTION("IFERROR(IF(SUMPRODUCT(('Σύνοψη'!$F$2:$F289=$A222)*('Σύνοψη'!$C$2:$C289=E$3)*('Σύνοψη'!$G$2:$G289=$B222))&gt;0,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'Σύνοψη'!$C$2:$C289=E$3)), IF(SUMPRODUCT(('Σύνοψη'!$F$2:$F289=$A222)*('Σύνοψη'!$C$2:$C289=E$3)*('Σύνοψη'!$G$2:$G289&lt;$B222)*('Σύνοψη'!$H$2:$H289&gt;$B222))&gt;0, CHAR(34), """") ), """")"),"")</f>
        <v/>
      </c>
      <c r="F222" s="67" t="str">
        <f ca="1">IFERROR(__xludf.DUMMYFUNCTION("IFERROR(IF(SUMPRODUCT(('Σύνοψη'!$F$2:$F289=$A222)*('Σύνοψη'!$C$2:$C289=F$3)*('Σύνοψη'!$G$2:$G289=$B222))&gt;0,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'Σύνοψη'!$C$2:$C289=F$3)), IF(SUMPRODUCT(('Σύνοψη'!$F$2:$F289=$A222)*('Σύνοψη'!$C$2:$C289=F$3)*('Σύνοψη'!$G$2:$G289&lt;$B222)*('Σύνοψη'!$H$2:$H289&gt;$B222))&gt;0, CHAR(34), """") ), """")"),"")</f>
        <v/>
      </c>
      <c r="G222" s="67" t="str">
        <f ca="1">IFERROR(__xludf.DUMMYFUNCTION("IFERROR(IF(SUMPRODUCT(('Σύνοψη'!$F$2:$F289=$A222)*('Σύνοψη'!$C$2:$C289=G$3)*('Σύνοψη'!$G$2:$G289=$B222))&gt;0,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'Σύνοψη'!$C$2:$C289=G$3)), IF(SUMPRODUCT(('Σύνοψη'!$F$2:$F289=$A222)*('Σύνοψη'!$C$2:$C289=G$3)*('Σύνοψη'!$G$2:$G289&lt;$B222)*('Σύνοψη'!$H$2:$H289&gt;$B222))&gt;0, CHAR(34), """") ), """")"),"")</f>
        <v/>
      </c>
      <c r="H222" s="67" t="str">
        <f ca="1">IFERROR(__xludf.DUMMYFUNCTION("IFERROR(IF(SUMPRODUCT(('Σύνοψη'!$F$2:$F289=$A222)*('Σύνοψη'!$C$2:$C289=H$3)*('Σύνοψη'!$G$2:$G289=$B222))&gt;0, TEXTJOIN(CHAR(10) &amp; ""-----------------------"" &amp; CHAR(10), TRUE, FILTER('Σύνοψη'!$E$2:$E289 &amp; "" - "" &amp; 'Σύνοψη'!$I$2:$I289 &amp; "" ("" &amp; 'Σύνοψη'!$J"&amp;"$2:$J289 &amp; "")"", 'Σύνοψη'!$F$2:$F289=$A222, 'Σύνοψη'!$G$2:$G289=$B222, 'Σύνοψη'!$C$2:$C289=H$3)), IF(SUMPRODUCT(('Σύνοψη'!$F$2:$F289=$A222)*('Σύνοψη'!$C$2:$C289=H$3)*('Σύνοψη'!$G$2:$G289&lt;$B222)*('Σύνοψη'!$H$2:$H289&gt;$B222))&gt;0, CHAR(34), """") ), """")"),"")</f>
        <v/>
      </c>
      <c r="I222" s="3"/>
    </row>
    <row r="223" spans="1:9" x14ac:dyDescent="0.25">
      <c r="A223" s="95">
        <f t="shared" si="15"/>
        <v>46286</v>
      </c>
      <c r="B223" s="89">
        <v>0.45833333333333331</v>
      </c>
      <c r="C223" s="67" t="str">
        <f ca="1">IFERROR(__xludf.DUMMYFUNCTION("IFERROR(IF(SUMPRODUCT(('Σύνοψη'!$F$2:$F289=$A223)*('Σύνοψη'!$C$2:$C289=C$3)*('Σύνοψη'!$G$2:$G289=$B223))&gt;0,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'Σύνοψη'!$C$2:$C289=C$3)), IF(SUMPRODUCT(('Σύνοψη'!$F$2:$F289=$A223)*('Σύνοψη'!$C$2:$C289=C$3)*('Σύνοψη'!$G$2:$G289&lt;$B223)*('Σύνοψη'!$H$2:$H289&gt;$B223))&gt;0, CHAR(34), """") ), """")"),"")</f>
        <v/>
      </c>
      <c r="D223" s="67" t="str">
        <f ca="1">IFERROR(__xludf.DUMMYFUNCTION("IFERROR(IF(SUMPRODUCT(('Σύνοψη'!$F$2:$F289=$A223)*('Σύνοψη'!$C$2:$C289=D$3)*('Σύνοψη'!$G$2:$G289=$B223))&gt;0,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'Σύνοψη'!$C$2:$C289=D$3)), IF(SUMPRODUCT(('Σύνοψη'!$F$2:$F289=$A223)*('Σύνοψη'!$C$2:$C289=D$3)*('Σύνοψη'!$G$2:$G289&lt;$B223)*('Σύνοψη'!$H$2:$H289&gt;$B223))&gt;0, CHAR(34), """") ), """")"),"")</f>
        <v/>
      </c>
      <c r="E223" s="67" t="str">
        <f ca="1">IFERROR(__xludf.DUMMYFUNCTION("IFERROR(IF(SUMPRODUCT(('Σύνοψη'!$F$2:$F289=$A223)*('Σύνοψη'!$C$2:$C289=E$3)*('Σύνοψη'!$G$2:$G289=$B223))&gt;0,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'Σύνοψη'!$C$2:$C289=E$3)), IF(SUMPRODUCT(('Σύνοψη'!$F$2:$F289=$A223)*('Σύνοψη'!$C$2:$C289=E$3)*('Σύνοψη'!$G$2:$G289&lt;$B223)*('Σύνοψη'!$H$2:$H289&gt;$B223))&gt;0, CHAR(34), """") ), """")"),"")</f>
        <v/>
      </c>
      <c r="F223" s="67" t="str">
        <f ca="1">IFERROR(__xludf.DUMMYFUNCTION("IFERROR(IF(SUMPRODUCT(('Σύνοψη'!$F$2:$F289=$A223)*('Σύνοψη'!$C$2:$C289=F$3)*('Σύνοψη'!$G$2:$G289=$B223))&gt;0,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'Σύνοψη'!$C$2:$C289=F$3)), IF(SUMPRODUCT(('Σύνοψη'!$F$2:$F289=$A223)*('Σύνοψη'!$C$2:$C289=F$3)*('Σύνοψη'!$G$2:$G289&lt;$B223)*('Σύνοψη'!$H$2:$H289&gt;$B223))&gt;0, CHAR(34), """") ), """")"),"")</f>
        <v/>
      </c>
      <c r="G223" s="67" t="str">
        <f ca="1">IFERROR(__xludf.DUMMYFUNCTION("IFERROR(IF(SUMPRODUCT(('Σύνοψη'!$F$2:$F289=$A223)*('Σύνοψη'!$C$2:$C289=G$3)*('Σύνοψη'!$G$2:$G289=$B223))&gt;0,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'Σύνοψη'!$C$2:$C289=G$3)), IF(SUMPRODUCT(('Σύνοψη'!$F$2:$F289=$A223)*('Σύνοψη'!$C$2:$C289=G$3)*('Σύνοψη'!$G$2:$G289&lt;$B223)*('Σύνοψη'!$H$2:$H289&gt;$B223))&gt;0, CHAR(34), """") ), """")"),"")</f>
        <v/>
      </c>
      <c r="H223" s="67" t="str">
        <f ca="1">IFERROR(__xludf.DUMMYFUNCTION("IFERROR(IF(SUMPRODUCT(('Σύνοψη'!$F$2:$F289=$A223)*('Σύνοψη'!$C$2:$C289=H$3)*('Σύνοψη'!$G$2:$G289=$B223))&gt;0, TEXTJOIN(CHAR(10) &amp; ""-----------------------"" &amp; CHAR(10), TRUE, FILTER('Σύνοψη'!$E$2:$E289 &amp; "" - "" &amp; 'Σύνοψη'!$I$2:$I289 &amp; "" ("" &amp; 'Σύνοψη'!$J"&amp;"$2:$J289 &amp; "")"", 'Σύνοψη'!$F$2:$F289=$A223, 'Σύνοψη'!$G$2:$G289=$B223, 'Σύνοψη'!$C$2:$C289=H$3)), IF(SUMPRODUCT(('Σύνοψη'!$F$2:$F289=$A223)*('Σύνοψη'!$C$2:$C289=H$3)*('Σύνοψη'!$G$2:$G289&lt;$B223)*('Σύνοψη'!$H$2:$H289&gt;$B223))&gt;0, CHAR(34), """") ), """")"),"")</f>
        <v/>
      </c>
      <c r="I223" s="3"/>
    </row>
    <row r="224" spans="1:9" x14ac:dyDescent="0.25">
      <c r="A224" s="95">
        <f t="shared" si="15"/>
        <v>46286</v>
      </c>
      <c r="B224" s="89">
        <v>0.5</v>
      </c>
      <c r="C224" s="67" t="str">
        <f ca="1">IFERROR(__xludf.DUMMYFUNCTION("IFERROR(IF(SUMPRODUCT(('Σύνοψη'!$F$2:$F289=$A224)*('Σύνοψη'!$C$2:$C289=C$3)*('Σύνοψη'!$G$2:$G289=$B224))&gt;0,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'Σύνοψη'!$C$2:$C289=C$3)), IF(SUMPRODUCT(('Σύνοψη'!$F$2:$F289=$A224)*('Σύνοψη'!$C$2:$C289=C$3)*('Σύνοψη'!$G$2:$G289&lt;$B224)*('Σύνοψη'!$H$2:$H289&gt;$B224))&gt;0, CHAR(34), """") ), """")"),"")</f>
        <v/>
      </c>
      <c r="D224" s="67" t="str">
        <f ca="1">IFERROR(__xludf.DUMMYFUNCTION("IFERROR(IF(SUMPRODUCT(('Σύνοψη'!$F$2:$F289=$A224)*('Σύνοψη'!$C$2:$C289=D$3)*('Σύνοψη'!$G$2:$G289=$B224))&gt;0,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'Σύνοψη'!$C$2:$C289=D$3)), IF(SUMPRODUCT(('Σύνοψη'!$F$2:$F289=$A224)*('Σύνοψη'!$C$2:$C289=D$3)*('Σύνοψη'!$G$2:$G289&lt;$B224)*('Σύνοψη'!$H$2:$H289&gt;$B224))&gt;0, CHAR(34), """") ), """")"),"")</f>
        <v/>
      </c>
      <c r="E224" s="67" t="str">
        <f ca="1">IFERROR(__xludf.DUMMYFUNCTION("IFERROR(IF(SUMPRODUCT(('Σύνοψη'!$F$2:$F289=$A224)*('Σύνοψη'!$C$2:$C289=E$3)*('Σύνοψη'!$G$2:$G289=$B224))&gt;0,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'Σύνοψη'!$C$2:$C289=E$3)), IF(SUMPRODUCT(('Σύνοψη'!$F$2:$F289=$A224)*('Σύνοψη'!$C$2:$C289=E$3)*('Σύνοψη'!$G$2:$G289&lt;$B224)*('Σύνοψη'!$H$2:$H289&gt;$B224))&gt;0, CHAR(34), """") ), """")"),"")</f>
        <v/>
      </c>
      <c r="F224" s="67" t="str">
        <f ca="1">IFERROR(__xludf.DUMMYFUNCTION("IFERROR(IF(SUMPRODUCT(('Σύνοψη'!$F$2:$F289=$A224)*('Σύνοψη'!$C$2:$C289=F$3)*('Σύνοψη'!$G$2:$G289=$B224))&gt;0,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'Σύνοψη'!$C$2:$C289=F$3)), IF(SUMPRODUCT(('Σύνοψη'!$F$2:$F289=$A224)*('Σύνοψη'!$C$2:$C289=F$3)*('Σύνοψη'!$G$2:$G289&lt;$B224)*('Σύνοψη'!$H$2:$H289&gt;$B224))&gt;0, CHAR(34), """") ), """")"),"")</f>
        <v/>
      </c>
      <c r="G224" s="67" t="str">
        <f ca="1">IFERROR(__xludf.DUMMYFUNCTION("IFERROR(IF(SUMPRODUCT(('Σύνοψη'!$F$2:$F289=$A224)*('Σύνοψη'!$C$2:$C289=G$3)*('Σύνοψη'!$G$2:$G289=$B224))&gt;0,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'Σύνοψη'!$C$2:$C289=G$3)), IF(SUMPRODUCT(('Σύνοψη'!$F$2:$F289=$A224)*('Σύνοψη'!$C$2:$C289=G$3)*('Σύνοψη'!$G$2:$G289&lt;$B224)*('Σύνοψη'!$H$2:$H289&gt;$B224))&gt;0, CHAR(34), """") ), """")"),"")</f>
        <v/>
      </c>
      <c r="H224" s="67" t="str">
        <f ca="1">IFERROR(__xludf.DUMMYFUNCTION("IFERROR(IF(SUMPRODUCT(('Σύνοψη'!$F$2:$F289=$A224)*('Σύνοψη'!$C$2:$C289=H$3)*('Σύνοψη'!$G$2:$G289=$B224))&gt;0, TEXTJOIN(CHAR(10) &amp; ""-----------------------"" &amp; CHAR(10), TRUE, FILTER('Σύνοψη'!$E$2:$E289 &amp; "" - "" &amp; 'Σύνοψη'!$I$2:$I289 &amp; "" ("" &amp; 'Σύνοψη'!$J"&amp;"$2:$J289 &amp; "")"", 'Σύνοψη'!$F$2:$F289=$A224, 'Σύνοψη'!$G$2:$G289=$B224, 'Σύνοψη'!$C$2:$C289=H$3)), IF(SUMPRODUCT(('Σύνοψη'!$F$2:$F289=$A224)*('Σύνοψη'!$C$2:$C289=H$3)*('Σύνοψη'!$G$2:$G289&lt;$B224)*('Σύνοψη'!$H$2:$H289&gt;$B224))&gt;0, CHAR(34), """") ), """")"),"")</f>
        <v/>
      </c>
      <c r="I224" s="3"/>
    </row>
    <row r="225" spans="1:9" x14ac:dyDescent="0.25">
      <c r="A225" s="95">
        <f t="shared" si="15"/>
        <v>46286</v>
      </c>
      <c r="B225" s="89">
        <v>0.54166666666666663</v>
      </c>
      <c r="C225" s="67" t="str">
        <f ca="1">IFERROR(__xludf.DUMMYFUNCTION("IFERROR(IF(SUMPRODUCT(('Σύνοψη'!$F$2:$F289=$A225)*('Σύνοψη'!$C$2:$C289=C$3)*('Σύνοψη'!$G$2:$G289=$B225))&gt;0,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'Σύνοψη'!$C$2:$C289=C$3)), IF(SUMPRODUCT(('Σύνοψη'!$F$2:$F289=$A225)*('Σύνοψη'!$C$2:$C289=C$3)*('Σύνοψη'!$G$2:$G289&lt;$B225)*('Σύνοψη'!$H$2:$H289&gt;$B225))&gt;0, CHAR(34), """") ), """")"),"")</f>
        <v/>
      </c>
      <c r="D225" s="67" t="str">
        <f ca="1">IFERROR(__xludf.DUMMYFUNCTION("IFERROR(IF(SUMPRODUCT(('Σύνοψη'!$F$2:$F289=$A225)*('Σύνοψη'!$C$2:$C289=D$3)*('Σύνοψη'!$G$2:$G289=$B225))&gt;0,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'Σύνοψη'!$C$2:$C289=D$3)), IF(SUMPRODUCT(('Σύνοψη'!$F$2:$F289=$A225)*('Σύνοψη'!$C$2:$C289=D$3)*('Σύνοψη'!$G$2:$G289&lt;$B225)*('Σύνοψη'!$H$2:$H289&gt;$B225))&gt;0, CHAR(34), """") ), """")"),"")</f>
        <v/>
      </c>
      <c r="E225" s="67" t="str">
        <f ca="1">IFERROR(__xludf.DUMMYFUNCTION("IFERROR(IF(SUMPRODUCT(('Σύνοψη'!$F$2:$F289=$A225)*('Σύνοψη'!$C$2:$C289=E$3)*('Σύνοψη'!$G$2:$G289=$B225))&gt;0,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'Σύνοψη'!$C$2:$C289=E$3)), IF(SUMPRODUCT(('Σύνοψη'!$F$2:$F289=$A225)*('Σύνοψη'!$C$2:$C289=E$3)*('Σύνοψη'!$G$2:$G289&lt;$B225)*('Σύνοψη'!$H$2:$H289&gt;$B225))&gt;0, CHAR(34), """") ), """")"),"")</f>
        <v/>
      </c>
      <c r="F225" s="67" t="str">
        <f ca="1">IFERROR(__xludf.DUMMYFUNCTION("IFERROR(IF(SUMPRODUCT(('Σύνοψη'!$F$2:$F289=$A225)*('Σύνοψη'!$C$2:$C289=F$3)*('Σύνοψη'!$G$2:$G289=$B225))&gt;0,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'Σύνοψη'!$C$2:$C289=F$3)), IF(SUMPRODUCT(('Σύνοψη'!$F$2:$F289=$A225)*('Σύνοψη'!$C$2:$C289=F$3)*('Σύνοψη'!$G$2:$G289&lt;$B225)*('Σύνοψη'!$H$2:$H289&gt;$B225))&gt;0, CHAR(34), """") ), """")"),"")</f>
        <v/>
      </c>
      <c r="G225" s="67" t="str">
        <f ca="1">IFERROR(__xludf.DUMMYFUNCTION("IFERROR(IF(SUMPRODUCT(('Σύνοψη'!$F$2:$F289=$A225)*('Σύνοψη'!$C$2:$C289=G$3)*('Σύνοψη'!$G$2:$G289=$B225))&gt;0,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'Σύνοψη'!$C$2:$C289=G$3)), IF(SUMPRODUCT(('Σύνοψη'!$F$2:$F289=$A225)*('Σύνοψη'!$C$2:$C289=G$3)*('Σύνοψη'!$G$2:$G289&lt;$B225)*('Σύνοψη'!$H$2:$H289&gt;$B225))&gt;0, CHAR(34), """") ), """")"),"")</f>
        <v/>
      </c>
      <c r="H225" s="67" t="str">
        <f ca="1">IFERROR(__xludf.DUMMYFUNCTION("IFERROR(IF(SUMPRODUCT(('Σύνοψη'!$F$2:$F289=$A225)*('Σύνοψη'!$C$2:$C289=H$3)*('Σύνοψη'!$G$2:$G289=$B225))&gt;0, TEXTJOIN(CHAR(10) &amp; ""-----------------------"" &amp; CHAR(10), TRUE, FILTER('Σύνοψη'!$E$2:$E289 &amp; "" - "" &amp; 'Σύνοψη'!$I$2:$I289 &amp; "" ("" &amp; 'Σύνοψη'!$J"&amp;"$2:$J289 &amp; "")"", 'Σύνοψη'!$F$2:$F289=$A225, 'Σύνοψη'!$G$2:$G289=$B225, 'Σύνοψη'!$C$2:$C289=H$3)), IF(SUMPRODUCT(('Σύνοψη'!$F$2:$F289=$A225)*('Σύνοψη'!$C$2:$C289=H$3)*('Σύνοψη'!$G$2:$G289&lt;$B225)*('Σύνοψη'!$H$2:$H289&gt;$B225))&gt;0, CHAR(34), """") ), """")"),"")</f>
        <v/>
      </c>
      <c r="I225" s="3"/>
    </row>
    <row r="226" spans="1:9" x14ac:dyDescent="0.25">
      <c r="A226" s="95">
        <f t="shared" si="15"/>
        <v>46286</v>
      </c>
      <c r="B226" s="89">
        <v>0.58333333333333337</v>
      </c>
      <c r="C226" s="67" t="str">
        <f ca="1">IFERROR(__xludf.DUMMYFUNCTION("IFERROR(IF(SUMPRODUCT(('Σύνοψη'!$F$2:$F289=$A226)*('Σύνοψη'!$C$2:$C289=C$3)*('Σύνοψη'!$G$2:$G289=$B226))&gt;0,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'Σύνοψη'!$C$2:$C289=C$3)), IF(SUMPRODUCT(('Σύνοψη'!$F$2:$F289=$A226)*('Σύνοψη'!$C$2:$C289=C$3)*('Σύνοψη'!$G$2:$G289&lt;$B226)*('Σύνοψη'!$H$2:$H289&gt;$B226))&gt;0, CHAR(34), """") ), """")"),"")</f>
        <v/>
      </c>
      <c r="D226" s="67" t="str">
        <f ca="1">IFERROR(__xludf.DUMMYFUNCTION("IFERROR(IF(SUMPRODUCT(('Σύνοψη'!$F$2:$F289=$A226)*('Σύνοψη'!$C$2:$C289=D$3)*('Σύνοψη'!$G$2:$G289=$B226))&gt;0,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'Σύνοψη'!$C$2:$C289=D$3)), IF(SUMPRODUCT(('Σύνοψη'!$F$2:$F289=$A226)*('Σύνοψη'!$C$2:$C289=D$3)*('Σύνοψη'!$G$2:$G289&lt;$B226)*('Σύνοψη'!$H$2:$H289&gt;$B226))&gt;0, CHAR(34), """") ), """")"),"")</f>
        <v/>
      </c>
      <c r="E226" s="67" t="str">
        <f ca="1">IFERROR(__xludf.DUMMYFUNCTION("IFERROR(IF(SUMPRODUCT(('Σύνοψη'!$F$2:$F289=$A226)*('Σύνοψη'!$C$2:$C289=E$3)*('Σύνοψη'!$G$2:$G289=$B226))&gt;0,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'Σύνοψη'!$C$2:$C289=E$3)), IF(SUMPRODUCT(('Σύνοψη'!$F$2:$F289=$A226)*('Σύνοψη'!$C$2:$C289=E$3)*('Σύνοψη'!$G$2:$G289&lt;$B226)*('Σύνοψη'!$H$2:$H289&gt;$B226))&gt;0, CHAR(34), """") ), """")"),"")</f>
        <v/>
      </c>
      <c r="F226" s="67" t="str">
        <f ca="1">IFERROR(__xludf.DUMMYFUNCTION("IFERROR(IF(SUMPRODUCT(('Σύνοψη'!$F$2:$F289=$A226)*('Σύνοψη'!$C$2:$C289=F$3)*('Σύνοψη'!$G$2:$G289=$B226))&gt;0,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'Σύνοψη'!$C$2:$C289=F$3)), IF(SUMPRODUCT(('Σύνοψη'!$F$2:$F289=$A226)*('Σύνοψη'!$C$2:$C289=F$3)*('Σύνοψη'!$G$2:$G289&lt;$B226)*('Σύνοψη'!$H$2:$H289&gt;$B226))&gt;0, CHAR(34), """") ), """")"),"")</f>
        <v/>
      </c>
      <c r="G226" s="67" t="str">
        <f ca="1">IFERROR(__xludf.DUMMYFUNCTION("IFERROR(IF(SUMPRODUCT(('Σύνοψη'!$F$2:$F289=$A226)*('Σύνοψη'!$C$2:$C289=G$3)*('Σύνοψη'!$G$2:$G289=$B226))&gt;0,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'Σύνοψη'!$C$2:$C289=G$3)), IF(SUMPRODUCT(('Σύνοψη'!$F$2:$F289=$A226)*('Σύνοψη'!$C$2:$C289=G$3)*('Σύνοψη'!$G$2:$G289&lt;$B226)*('Σύνοψη'!$H$2:$H289&gt;$B226))&gt;0, CHAR(34), """") ), """")"),"")</f>
        <v/>
      </c>
      <c r="H226" s="67" t="str">
        <f ca="1">IFERROR(__xludf.DUMMYFUNCTION("IFERROR(IF(SUMPRODUCT(('Σύνοψη'!$F$2:$F289=$A226)*('Σύνοψη'!$C$2:$C289=H$3)*('Σύνοψη'!$G$2:$G289=$B226))&gt;0, TEXTJOIN(CHAR(10) &amp; ""-----------------------"" &amp; CHAR(10), TRUE, FILTER('Σύνοψη'!$E$2:$E289 &amp; "" - "" &amp; 'Σύνοψη'!$I$2:$I289 &amp; "" ("" &amp; 'Σύνοψη'!$J"&amp;"$2:$J289 &amp; "")"", 'Σύνοψη'!$F$2:$F289=$A226, 'Σύνοψη'!$G$2:$G289=$B226, 'Σύνοψη'!$C$2:$C289=H$3)), IF(SUMPRODUCT(('Σύνοψη'!$F$2:$F289=$A226)*('Σύνοψη'!$C$2:$C289=H$3)*('Σύνοψη'!$G$2:$G289&lt;$B226)*('Σύνοψη'!$H$2:$H289&gt;$B226))&gt;0, CHAR(34), """") ), """")"),"")</f>
        <v/>
      </c>
      <c r="I226" s="3"/>
    </row>
    <row r="227" spans="1:9" x14ac:dyDescent="0.25">
      <c r="A227" s="95">
        <f t="shared" si="15"/>
        <v>46286</v>
      </c>
      <c r="B227" s="89">
        <v>0.625</v>
      </c>
      <c r="C227" s="67" t="str">
        <f ca="1">IFERROR(__xludf.DUMMYFUNCTION("IFERROR(IF(SUMPRODUCT(('Σύνοψη'!$F$2:$F289=$A227)*('Σύνοψη'!$C$2:$C289=C$3)*('Σύνοψη'!$G$2:$G289=$B227))&gt;0,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'Σύνοψη'!$C$2:$C289=C$3)), IF(SUMPRODUCT(('Σύνοψη'!$F$2:$F289=$A227)*('Σύνοψη'!$C$2:$C289=C$3)*('Σύνοψη'!$G$2:$G289&lt;$B227)*('Σύνοψη'!$H$2:$H289&gt;$B227))&gt;0, CHAR(34), """") ), """")"),"")</f>
        <v/>
      </c>
      <c r="D227" s="67" t="str">
        <f ca="1">IFERROR(__xludf.DUMMYFUNCTION("IFERROR(IF(SUMPRODUCT(('Σύνοψη'!$F$2:$F289=$A227)*('Σύνοψη'!$C$2:$C289=D$3)*('Σύνοψη'!$G$2:$G289=$B227))&gt;0,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'Σύνοψη'!$C$2:$C289=D$3)), IF(SUMPRODUCT(('Σύνοψη'!$F$2:$F289=$A227)*('Σύνοψη'!$C$2:$C289=D$3)*('Σύνοψη'!$G$2:$G289&lt;$B227)*('Σύνοψη'!$H$2:$H289&gt;$B227))&gt;0, CHAR(34), """") ), """")"),"")</f>
        <v/>
      </c>
      <c r="E227" s="67" t="str">
        <f ca="1">IFERROR(__xludf.DUMMYFUNCTION("IFERROR(IF(SUMPRODUCT(('Σύνοψη'!$F$2:$F289=$A227)*('Σύνοψη'!$C$2:$C289=E$3)*('Σύνοψη'!$G$2:$G289=$B227))&gt;0,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'Σύνοψη'!$C$2:$C289=E$3)), IF(SUMPRODUCT(('Σύνοψη'!$F$2:$F289=$A227)*('Σύνοψη'!$C$2:$C289=E$3)*('Σύνοψη'!$G$2:$G289&lt;$B227)*('Σύνοψη'!$H$2:$H289&gt;$B227))&gt;0, CHAR(34), """") ), """")"),"")</f>
        <v/>
      </c>
      <c r="F227" s="67" t="str">
        <f ca="1">IFERROR(__xludf.DUMMYFUNCTION("IFERROR(IF(SUMPRODUCT(('Σύνοψη'!$F$2:$F289=$A227)*('Σύνοψη'!$C$2:$C289=F$3)*('Σύνοψη'!$G$2:$G289=$B227))&gt;0,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'Σύνοψη'!$C$2:$C289=F$3)), IF(SUMPRODUCT(('Σύνοψη'!$F$2:$F289=$A227)*('Σύνοψη'!$C$2:$C289=F$3)*('Σύνοψη'!$G$2:$G289&lt;$B227)*('Σύνοψη'!$H$2:$H289&gt;$B227))&gt;0, CHAR(34), """") ), """")"),"")</f>
        <v/>
      </c>
      <c r="G227" s="67" t="str">
        <f ca="1">IFERROR(__xludf.DUMMYFUNCTION("IFERROR(IF(SUMPRODUCT(('Σύνοψη'!$F$2:$F289=$A227)*('Σύνοψη'!$C$2:$C289=G$3)*('Σύνοψη'!$G$2:$G289=$B227))&gt;0,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'Σύνοψη'!$C$2:$C289=G$3)), IF(SUMPRODUCT(('Σύνοψη'!$F$2:$F289=$A227)*('Σύνοψη'!$C$2:$C289=G$3)*('Σύνοψη'!$G$2:$G289&lt;$B227)*('Σύνοψη'!$H$2:$H289&gt;$B227))&gt;0, CHAR(34), """") ), """")"),"")</f>
        <v/>
      </c>
      <c r="H227" s="67" t="str">
        <f ca="1">IFERROR(__xludf.DUMMYFUNCTION("IFERROR(IF(SUMPRODUCT(('Σύνοψη'!$F$2:$F289=$A227)*('Σύνοψη'!$C$2:$C289=H$3)*('Σύνοψη'!$G$2:$G289=$B227))&gt;0, TEXTJOIN(CHAR(10) &amp; ""-----------------------"" &amp; CHAR(10), TRUE, FILTER('Σύνοψη'!$E$2:$E289 &amp; "" - "" &amp; 'Σύνοψη'!$I$2:$I289 &amp; "" ("" &amp; 'Σύνοψη'!$J"&amp;"$2:$J289 &amp; "")"", 'Σύνοψη'!$F$2:$F289=$A227, 'Σύνοψη'!$G$2:$G289=$B227, 'Σύνοψη'!$C$2:$C289=H$3)), IF(SUMPRODUCT(('Σύνοψη'!$F$2:$F289=$A227)*('Σύνοψη'!$C$2:$C289=H$3)*('Σύνοψη'!$G$2:$G289&lt;$B227)*('Σύνοψη'!$H$2:$H289&gt;$B227))&gt;0, CHAR(34), """") ), """")"),"")</f>
        <v/>
      </c>
      <c r="I227" s="3"/>
    </row>
    <row r="228" spans="1:9" x14ac:dyDescent="0.25">
      <c r="A228" s="95">
        <f t="shared" si="15"/>
        <v>46286</v>
      </c>
      <c r="B228" s="89">
        <v>0.66666666666666663</v>
      </c>
      <c r="C228" s="67" t="str">
        <f ca="1">IFERROR(__xludf.DUMMYFUNCTION("IFERROR(IF(SUMPRODUCT(('Σύνοψη'!$F$2:$F289=$A228)*('Σύνοψη'!$C$2:$C289=C$3)*('Σύνοψη'!$G$2:$G289=$B228))&gt;0,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'Σύνοψη'!$C$2:$C289=C$3)), IF(SUMPRODUCT(('Σύνοψη'!$F$2:$F289=$A228)*('Σύνοψη'!$C$2:$C289=C$3)*('Σύνοψη'!$G$2:$G289&lt;$B228)*('Σύνοψη'!$H$2:$H289&gt;$B228))&gt;0, CHAR(34), """") ), """")"),"")</f>
        <v/>
      </c>
      <c r="D228" s="67" t="str">
        <f ca="1">IFERROR(__xludf.DUMMYFUNCTION("IFERROR(IF(SUMPRODUCT(('Σύνοψη'!$F$2:$F289=$A228)*('Σύνοψη'!$C$2:$C289=D$3)*('Σύνοψη'!$G$2:$G289=$B228))&gt;0,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'Σύνοψη'!$C$2:$C289=D$3)), IF(SUMPRODUCT(('Σύνοψη'!$F$2:$F289=$A228)*('Σύνοψη'!$C$2:$C289=D$3)*('Σύνοψη'!$G$2:$G289&lt;$B228)*('Σύνοψη'!$H$2:$H289&gt;$B228))&gt;0, CHAR(34), """") ), """")"),"")</f>
        <v/>
      </c>
      <c r="E228" s="67" t="str">
        <f ca="1">IFERROR(__xludf.DUMMYFUNCTION("IFERROR(IF(SUMPRODUCT(('Σύνοψη'!$F$2:$F289=$A228)*('Σύνοψη'!$C$2:$C289=E$3)*('Σύνοψη'!$G$2:$G289=$B228))&gt;0,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'Σύνοψη'!$C$2:$C289=E$3)), IF(SUMPRODUCT(('Σύνοψη'!$F$2:$F289=$A228)*('Σύνοψη'!$C$2:$C289=E$3)*('Σύνοψη'!$G$2:$G289&lt;$B228)*('Σύνοψη'!$H$2:$H289&gt;$B228))&gt;0, CHAR(34), """") ), """")"),"")</f>
        <v/>
      </c>
      <c r="F228" s="67" t="str">
        <f ca="1">IFERROR(__xludf.DUMMYFUNCTION("IFERROR(IF(SUMPRODUCT(('Σύνοψη'!$F$2:$F289=$A228)*('Σύνοψη'!$C$2:$C289=F$3)*('Σύνοψη'!$G$2:$G289=$B228))&gt;0,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'Σύνοψη'!$C$2:$C289=F$3)), IF(SUMPRODUCT(('Σύνοψη'!$F$2:$F289=$A228)*('Σύνοψη'!$C$2:$C289=F$3)*('Σύνοψη'!$G$2:$G289&lt;$B228)*('Σύνοψη'!$H$2:$H289&gt;$B228))&gt;0, CHAR(34), """") ), """")"),"")</f>
        <v/>
      </c>
      <c r="G228" s="67" t="str">
        <f ca="1">IFERROR(__xludf.DUMMYFUNCTION("IFERROR(IF(SUMPRODUCT(('Σύνοψη'!$F$2:$F289=$A228)*('Σύνοψη'!$C$2:$C289=G$3)*('Σύνοψη'!$G$2:$G289=$B228))&gt;0,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'Σύνοψη'!$C$2:$C289=G$3)), IF(SUMPRODUCT(('Σύνοψη'!$F$2:$F289=$A228)*('Σύνοψη'!$C$2:$C289=G$3)*('Σύνοψη'!$G$2:$G289&lt;$B228)*('Σύνοψη'!$H$2:$H289&gt;$B228))&gt;0, CHAR(34), """") ), """")"),"")</f>
        <v/>
      </c>
      <c r="H228" s="67" t="str">
        <f ca="1">IFERROR(__xludf.DUMMYFUNCTION("IFERROR(IF(SUMPRODUCT(('Σύνοψη'!$F$2:$F289=$A228)*('Σύνοψη'!$C$2:$C289=H$3)*('Σύνοψη'!$G$2:$G289=$B228))&gt;0, TEXTJOIN(CHAR(10) &amp; ""-----------------------"" &amp; CHAR(10), TRUE, FILTER('Σύνοψη'!$E$2:$E289 &amp; "" - "" &amp; 'Σύνοψη'!$I$2:$I289 &amp; "" ("" &amp; 'Σύνοψη'!$J"&amp;"$2:$J289 &amp; "")"", 'Σύνοψη'!$F$2:$F289=$A228, 'Σύνοψη'!$G$2:$G289=$B228, 'Σύνοψη'!$C$2:$C289=H$3)), IF(SUMPRODUCT(('Σύνοψη'!$F$2:$F289=$A228)*('Σύνοψη'!$C$2:$C289=H$3)*('Σύνοψη'!$G$2:$G289&lt;$B228)*('Σύνοψη'!$H$2:$H289&gt;$B228))&gt;0, CHAR(34), """") ), """")"),"")</f>
        <v/>
      </c>
      <c r="I228" s="3"/>
    </row>
    <row r="229" spans="1:9" x14ac:dyDescent="0.25">
      <c r="A229" s="95">
        <f t="shared" si="15"/>
        <v>46286</v>
      </c>
      <c r="B229" s="89">
        <v>0.70833333333333337</v>
      </c>
      <c r="C229" s="67" t="str">
        <f ca="1">IFERROR(__xludf.DUMMYFUNCTION("IFERROR(IF(SUMPRODUCT(('Σύνοψη'!$F$2:$F289=$A229)*('Σύνοψη'!$C$2:$C289=C$3)*('Σύνοψη'!$G$2:$G289=$B229))&gt;0,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'Σύνοψη'!$C$2:$C289=C$3)), IF(SUMPRODUCT(('Σύνοψη'!$F$2:$F289=$A229)*('Σύνοψη'!$C$2:$C289=C$3)*('Σύνοψη'!$G$2:$G289&lt;$B229)*('Σύνοψη'!$H$2:$H289&gt;$B229))&gt;0, CHAR(34), """") ), """")"),"")</f>
        <v/>
      </c>
      <c r="D229" s="67" t="str">
        <f ca="1">IFERROR(__xludf.DUMMYFUNCTION("IFERROR(IF(SUMPRODUCT(('Σύνοψη'!$F$2:$F289=$A229)*('Σύνοψη'!$C$2:$C289=D$3)*('Σύνοψη'!$G$2:$G289=$B229))&gt;0,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'Σύνοψη'!$C$2:$C289=D$3)), IF(SUMPRODUCT(('Σύνοψη'!$F$2:$F289=$A229)*('Σύνοψη'!$C$2:$C289=D$3)*('Σύνοψη'!$G$2:$G289&lt;$B229)*('Σύνοψη'!$H$2:$H289&gt;$B229))&gt;0, CHAR(34), """") ), """")"),"")</f>
        <v/>
      </c>
      <c r="E229" s="67" t="str">
        <f ca="1">IFERROR(__xludf.DUMMYFUNCTION("IFERROR(IF(SUMPRODUCT(('Σύνοψη'!$F$2:$F289=$A229)*('Σύνοψη'!$C$2:$C289=E$3)*('Σύνοψη'!$G$2:$G289=$B229))&gt;0,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'Σύνοψη'!$C$2:$C289=E$3)), IF(SUMPRODUCT(('Σύνοψη'!$F$2:$F289=$A229)*('Σύνοψη'!$C$2:$C289=E$3)*('Σύνοψη'!$G$2:$G289&lt;$B229)*('Σύνοψη'!$H$2:$H289&gt;$B229))&gt;0, CHAR(34), """") ), """")"),"")</f>
        <v/>
      </c>
      <c r="F229" s="67" t="str">
        <f ca="1">IFERROR(__xludf.DUMMYFUNCTION("IFERROR(IF(SUMPRODUCT(('Σύνοψη'!$F$2:$F289=$A229)*('Σύνοψη'!$C$2:$C289=F$3)*('Σύνοψη'!$G$2:$G289=$B229))&gt;0,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'Σύνοψη'!$C$2:$C289=F$3)), IF(SUMPRODUCT(('Σύνοψη'!$F$2:$F289=$A229)*('Σύνοψη'!$C$2:$C289=F$3)*('Σύνοψη'!$G$2:$G289&lt;$B229)*('Σύνοψη'!$H$2:$H289&gt;$B229))&gt;0, CHAR(34), """") ), """")"),"")</f>
        <v/>
      </c>
      <c r="G229" s="67" t="str">
        <f ca="1">IFERROR(__xludf.DUMMYFUNCTION("IFERROR(IF(SUMPRODUCT(('Σύνοψη'!$F$2:$F289=$A229)*('Σύνοψη'!$C$2:$C289=G$3)*('Σύνοψη'!$G$2:$G289=$B229))&gt;0,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'Σύνοψη'!$C$2:$C289=G$3)), IF(SUMPRODUCT(('Σύνοψη'!$F$2:$F289=$A229)*('Σύνοψη'!$C$2:$C289=G$3)*('Σύνοψη'!$G$2:$G289&lt;$B229)*('Σύνοψη'!$H$2:$H289&gt;$B229))&gt;0, CHAR(34), """") ), """")"),"")</f>
        <v/>
      </c>
      <c r="H229" s="67" t="str">
        <f ca="1">IFERROR(__xludf.DUMMYFUNCTION("IFERROR(IF(SUMPRODUCT(('Σύνοψη'!$F$2:$F289=$A229)*('Σύνοψη'!$C$2:$C289=H$3)*('Σύνοψη'!$G$2:$G289=$B229))&gt;0, TEXTJOIN(CHAR(10) &amp; ""-----------------------"" &amp; CHAR(10), TRUE, FILTER('Σύνοψη'!$E$2:$E289 &amp; "" - "" &amp; 'Σύνοψη'!$I$2:$I289 &amp; "" ("" &amp; 'Σύνοψη'!$J"&amp;"$2:$J289 &amp; "")"", 'Σύνοψη'!$F$2:$F289=$A229, 'Σύνοψη'!$G$2:$G289=$B229, 'Σύνοψη'!$C$2:$C289=H$3)), IF(SUMPRODUCT(('Σύνοψη'!$F$2:$F289=$A229)*('Σύνοψη'!$C$2:$C289=H$3)*('Σύνοψη'!$G$2:$G289&lt;$B229)*('Σύνοψη'!$H$2:$H289&gt;$B229))&gt;0, CHAR(34), """") ), """")"),"")</f>
        <v/>
      </c>
      <c r="I229" s="3"/>
    </row>
    <row r="230" spans="1:9" x14ac:dyDescent="0.25">
      <c r="A230" s="95">
        <f t="shared" si="15"/>
        <v>46286</v>
      </c>
      <c r="B230" s="89">
        <v>0.75</v>
      </c>
      <c r="C230" s="67" t="str">
        <f ca="1">IFERROR(__xludf.DUMMYFUNCTION("IFERROR(IF(SUMPRODUCT(('Σύνοψη'!$F$2:$F289=$A230)*('Σύνοψη'!$C$2:$C289=C$3)*('Σύνοψη'!$G$2:$G289=$B230))&gt;0,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'Σύνοψη'!$C$2:$C289=C$3)), IF(SUMPRODUCT(('Σύνοψη'!$F$2:$F289=$A230)*('Σύνοψη'!$C$2:$C289=C$3)*('Σύνοψη'!$G$2:$G289&lt;$B230)*('Σύνοψη'!$H$2:$H289&gt;$B230))&gt;0, CHAR(34), """") ), """")"),"")</f>
        <v/>
      </c>
      <c r="D230" s="67" t="str">
        <f ca="1">IFERROR(__xludf.DUMMYFUNCTION("IFERROR(IF(SUMPRODUCT(('Σύνοψη'!$F$2:$F289=$A230)*('Σύνοψη'!$C$2:$C289=D$3)*('Σύνοψη'!$G$2:$G289=$B230))&gt;0,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'Σύνοψη'!$C$2:$C289=D$3)), IF(SUMPRODUCT(('Σύνοψη'!$F$2:$F289=$A230)*('Σύνοψη'!$C$2:$C289=D$3)*('Σύνοψη'!$G$2:$G289&lt;$B230)*('Σύνοψη'!$H$2:$H289&gt;$B230))&gt;0, CHAR(34), """") ), """")"),"")</f>
        <v/>
      </c>
      <c r="E230" s="67" t="str">
        <f ca="1">IFERROR(__xludf.DUMMYFUNCTION("IFERROR(IF(SUMPRODUCT(('Σύνοψη'!$F$2:$F289=$A230)*('Σύνοψη'!$C$2:$C289=E$3)*('Σύνοψη'!$G$2:$G289=$B230))&gt;0,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'Σύνοψη'!$C$2:$C289=E$3)), IF(SUMPRODUCT(('Σύνοψη'!$F$2:$F289=$A230)*('Σύνοψη'!$C$2:$C289=E$3)*('Σύνοψη'!$G$2:$G289&lt;$B230)*('Σύνοψη'!$H$2:$H289&gt;$B230))&gt;0, CHAR(34), """") ), """")"),"")</f>
        <v/>
      </c>
      <c r="F230" s="67" t="str">
        <f ca="1">IFERROR(__xludf.DUMMYFUNCTION("IFERROR(IF(SUMPRODUCT(('Σύνοψη'!$F$2:$F289=$A230)*('Σύνοψη'!$C$2:$C289=F$3)*('Σύνοψη'!$G$2:$G289=$B230))&gt;0,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'Σύνοψη'!$C$2:$C289=F$3)), IF(SUMPRODUCT(('Σύνοψη'!$F$2:$F289=$A230)*('Σύνοψη'!$C$2:$C289=F$3)*('Σύνοψη'!$G$2:$G289&lt;$B230)*('Σύνοψη'!$H$2:$H289&gt;$B230))&gt;0, CHAR(34), """") ), """")"),"")</f>
        <v/>
      </c>
      <c r="G230" s="67" t="str">
        <f ca="1">IFERROR(__xludf.DUMMYFUNCTION("IFERROR(IF(SUMPRODUCT(('Σύνοψη'!$F$2:$F289=$A230)*('Σύνοψη'!$C$2:$C289=G$3)*('Σύνοψη'!$G$2:$G289=$B230))&gt;0,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'Σύνοψη'!$C$2:$C289=G$3)), IF(SUMPRODUCT(('Σύνοψη'!$F$2:$F289=$A230)*('Σύνοψη'!$C$2:$C289=G$3)*('Σύνοψη'!$G$2:$G289&lt;$B230)*('Σύνοψη'!$H$2:$H289&gt;$B230))&gt;0, CHAR(34), """") ), """")"),"")</f>
        <v/>
      </c>
      <c r="H230" s="67" t="str">
        <f ca="1">IFERROR(__xludf.DUMMYFUNCTION("IFERROR(IF(SUMPRODUCT(('Σύνοψη'!$F$2:$F289=$A230)*('Σύνοψη'!$C$2:$C289=H$3)*('Σύνοψη'!$G$2:$G289=$B230))&gt;0, TEXTJOIN(CHAR(10) &amp; ""-----------------------"" &amp; CHAR(10), TRUE, FILTER('Σύνοψη'!$E$2:$E289 &amp; "" - "" &amp; 'Σύνοψη'!$I$2:$I289 &amp; "" ("" &amp; 'Σύνοψη'!$J"&amp;"$2:$J289 &amp; "")"", 'Σύνοψη'!$F$2:$F289=$A230, 'Σύνοψη'!$G$2:$G289=$B230, 'Σύνοψη'!$C$2:$C289=H$3)), IF(SUMPRODUCT(('Σύνοψη'!$F$2:$F289=$A230)*('Σύνοψη'!$C$2:$C289=H$3)*('Σύνοψη'!$G$2:$G289&lt;$B230)*('Σύνοψη'!$H$2:$H289&gt;$B230))&gt;0, CHAR(34), """") ), """")"),"")</f>
        <v/>
      </c>
      <c r="I230" s="3"/>
    </row>
    <row r="231" spans="1:9" x14ac:dyDescent="0.25">
      <c r="A231" s="95">
        <f t="shared" si="15"/>
        <v>46286</v>
      </c>
      <c r="B231" s="89">
        <v>0.79166666666666663</v>
      </c>
      <c r="C231" s="67" t="str">
        <f ca="1">IFERROR(__xludf.DUMMYFUNCTION("IFERROR(IF(SUMPRODUCT(('Σύνοψη'!$F$2:$F289=$A231)*('Σύνοψη'!$C$2:$C289=C$3)*('Σύνοψη'!$G$2:$G289=$B231))&gt;0,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'Σύνοψη'!$C$2:$C289=C$3)), IF(SUMPRODUCT(('Σύνοψη'!$F$2:$F289=$A231)*('Σύνοψη'!$C$2:$C289=C$3)*('Σύνοψη'!$G$2:$G289&lt;$B231)*('Σύνοψη'!$H$2:$H289&gt;$B231))&gt;0, CHAR(34), """") ), """")"),"")</f>
        <v/>
      </c>
      <c r="D231" s="67" t="str">
        <f ca="1">IFERROR(__xludf.DUMMYFUNCTION("IFERROR(IF(SUMPRODUCT(('Σύνοψη'!$F$2:$F289=$A231)*('Σύνοψη'!$C$2:$C289=D$3)*('Σύνοψη'!$G$2:$G289=$B231))&gt;0,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'Σύνοψη'!$C$2:$C289=D$3)), IF(SUMPRODUCT(('Σύνοψη'!$F$2:$F289=$A231)*('Σύνοψη'!$C$2:$C289=D$3)*('Σύνοψη'!$G$2:$G289&lt;$B231)*('Σύνοψη'!$H$2:$H289&gt;$B231))&gt;0, CHAR(34), """") ), """")"),"")</f>
        <v/>
      </c>
      <c r="E231" s="67" t="str">
        <f ca="1">IFERROR(__xludf.DUMMYFUNCTION("IFERROR(IF(SUMPRODUCT(('Σύνοψη'!$F$2:$F289=$A231)*('Σύνοψη'!$C$2:$C289=E$3)*('Σύνοψη'!$G$2:$G289=$B231))&gt;0,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'Σύνοψη'!$C$2:$C289=E$3)), IF(SUMPRODUCT(('Σύνοψη'!$F$2:$F289=$A231)*('Σύνοψη'!$C$2:$C289=E$3)*('Σύνοψη'!$G$2:$G289&lt;$B231)*('Σύνοψη'!$H$2:$H289&gt;$B231))&gt;0, CHAR(34), """") ), """")"),"")</f>
        <v/>
      </c>
      <c r="F231" s="67" t="str">
        <f ca="1">IFERROR(__xludf.DUMMYFUNCTION("IFERROR(IF(SUMPRODUCT(('Σύνοψη'!$F$2:$F289=$A231)*('Σύνοψη'!$C$2:$C289=F$3)*('Σύνοψη'!$G$2:$G289=$B231))&gt;0,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'Σύνοψη'!$C$2:$C289=F$3)), IF(SUMPRODUCT(('Σύνοψη'!$F$2:$F289=$A231)*('Σύνοψη'!$C$2:$C289=F$3)*('Σύνοψη'!$G$2:$G289&lt;$B231)*('Σύνοψη'!$H$2:$H289&gt;$B231))&gt;0, CHAR(34), """") ), """")"),"")</f>
        <v/>
      </c>
      <c r="G231" s="67" t="str">
        <f ca="1">IFERROR(__xludf.DUMMYFUNCTION("IFERROR(IF(SUMPRODUCT(('Σύνοψη'!$F$2:$F289=$A231)*('Σύνοψη'!$C$2:$C289=G$3)*('Σύνοψη'!$G$2:$G289=$B231))&gt;0,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'Σύνοψη'!$C$2:$C289=G$3)), IF(SUMPRODUCT(('Σύνοψη'!$F$2:$F289=$A231)*('Σύνοψη'!$C$2:$C289=G$3)*('Σύνοψη'!$G$2:$G289&lt;$B231)*('Σύνοψη'!$H$2:$H289&gt;$B231))&gt;0, CHAR(34), """") ), """")"),"")</f>
        <v/>
      </c>
      <c r="H231" s="67" t="str">
        <f ca="1">IFERROR(__xludf.DUMMYFUNCTION("IFERROR(IF(SUMPRODUCT(('Σύνοψη'!$F$2:$F289=$A231)*('Σύνοψη'!$C$2:$C289=H$3)*('Σύνοψη'!$G$2:$G289=$B231))&gt;0, TEXTJOIN(CHAR(10) &amp; ""-----------------------"" &amp; CHAR(10), TRUE, FILTER('Σύνοψη'!$E$2:$E289 &amp; "" - "" &amp; 'Σύνοψη'!$I$2:$I289 &amp; "" ("" &amp; 'Σύνοψη'!$J"&amp;"$2:$J289 &amp; "")"", 'Σύνοψη'!$F$2:$F289=$A231, 'Σύνοψη'!$G$2:$G289=$B231, 'Σύνοψη'!$C$2:$C289=H$3)), IF(SUMPRODUCT(('Σύνοψη'!$F$2:$F289=$A231)*('Σύνοψη'!$C$2:$C289=H$3)*('Σύνοψη'!$G$2:$G289&lt;$B231)*('Σύνοψη'!$H$2:$H289&gt;$B231))&gt;0, CHAR(34), """") ), """")"),"")</f>
        <v/>
      </c>
      <c r="I231" s="3"/>
    </row>
    <row r="232" spans="1:9" x14ac:dyDescent="0.25">
      <c r="A232" s="95">
        <f t="shared" si="15"/>
        <v>46286</v>
      </c>
      <c r="B232" s="89">
        <v>0.83333333333333337</v>
      </c>
      <c r="C232" s="67" t="str">
        <f ca="1">IFERROR(__xludf.DUMMYFUNCTION("IFERROR(IF(SUMPRODUCT(('Σύνοψη'!$F$2:$F289=$A232)*('Σύνοψη'!$C$2:$C289=C$3)*('Σύνοψη'!$G$2:$G289=$B232))&gt;0,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'Σύνοψη'!$C$2:$C289=C$3)), IF(SUMPRODUCT(('Σύνοψη'!$F$2:$F289=$A232)*('Σύνοψη'!$C$2:$C289=C$3)*('Σύνοψη'!$G$2:$G289&lt;$B232)*('Σύνοψη'!$H$2:$H289&gt;$B232))&gt;0, CHAR(34), """") ), """")"),"")</f>
        <v/>
      </c>
      <c r="D232" s="67" t="str">
        <f ca="1">IFERROR(__xludf.DUMMYFUNCTION("IFERROR(IF(SUMPRODUCT(('Σύνοψη'!$F$2:$F289=$A232)*('Σύνοψη'!$C$2:$C289=D$3)*('Σύνοψη'!$G$2:$G289=$B232))&gt;0,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'Σύνοψη'!$C$2:$C289=D$3)), IF(SUMPRODUCT(('Σύνοψη'!$F$2:$F289=$A232)*('Σύνοψη'!$C$2:$C289=D$3)*('Σύνοψη'!$G$2:$G289&lt;$B232)*('Σύνοψη'!$H$2:$H289&gt;$B232))&gt;0, CHAR(34), """") ), """")"),"")</f>
        <v/>
      </c>
      <c r="E232" s="67" t="str">
        <f ca="1">IFERROR(__xludf.DUMMYFUNCTION("IFERROR(IF(SUMPRODUCT(('Σύνοψη'!$F$2:$F289=$A232)*('Σύνοψη'!$C$2:$C289=E$3)*('Σύνοψη'!$G$2:$G289=$B232))&gt;0,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'Σύνοψη'!$C$2:$C289=E$3)), IF(SUMPRODUCT(('Σύνοψη'!$F$2:$F289=$A232)*('Σύνοψη'!$C$2:$C289=E$3)*('Σύνοψη'!$G$2:$G289&lt;$B232)*('Σύνοψη'!$H$2:$H289&gt;$B232))&gt;0, CHAR(34), """") ), """")"),"")</f>
        <v/>
      </c>
      <c r="F232" s="67" t="str">
        <f ca="1">IFERROR(__xludf.DUMMYFUNCTION("IFERROR(IF(SUMPRODUCT(('Σύνοψη'!$F$2:$F289=$A232)*('Σύνοψη'!$C$2:$C289=F$3)*('Σύνοψη'!$G$2:$G289=$B232))&gt;0,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'Σύνοψη'!$C$2:$C289=F$3)), IF(SUMPRODUCT(('Σύνοψη'!$F$2:$F289=$A232)*('Σύνοψη'!$C$2:$C289=F$3)*('Σύνοψη'!$G$2:$G289&lt;$B232)*('Σύνοψη'!$H$2:$H289&gt;$B232))&gt;0, CHAR(34), """") ), """")"),"")</f>
        <v/>
      </c>
      <c r="G232" s="67" t="str">
        <f ca="1">IFERROR(__xludf.DUMMYFUNCTION("IFERROR(IF(SUMPRODUCT(('Σύνοψη'!$F$2:$F289=$A232)*('Σύνοψη'!$C$2:$C289=G$3)*('Σύνοψη'!$G$2:$G289=$B232))&gt;0,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'Σύνοψη'!$C$2:$C289=G$3)), IF(SUMPRODUCT(('Σύνοψη'!$F$2:$F289=$A232)*('Σύνοψη'!$C$2:$C289=G$3)*('Σύνοψη'!$G$2:$G289&lt;$B232)*('Σύνοψη'!$H$2:$H289&gt;$B232))&gt;0, CHAR(34), """") ), """")"),"")</f>
        <v/>
      </c>
      <c r="H232" s="67" t="str">
        <f ca="1">IFERROR(__xludf.DUMMYFUNCTION("IFERROR(IF(SUMPRODUCT(('Σύνοψη'!$F$2:$F289=$A232)*('Σύνοψη'!$C$2:$C289=H$3)*('Σύνοψη'!$G$2:$G289=$B232))&gt;0, TEXTJOIN(CHAR(10) &amp; ""-----------------------"" &amp; CHAR(10), TRUE, FILTER('Σύνοψη'!$E$2:$E289 &amp; "" - "" &amp; 'Σύνοψη'!$I$2:$I289 &amp; "" ("" &amp; 'Σύνοψη'!$J"&amp;"$2:$J289 &amp; "")"", 'Σύνοψη'!$F$2:$F289=$A232, 'Σύνοψη'!$G$2:$G289=$B232, 'Σύνοψη'!$C$2:$C289=H$3)), IF(SUMPRODUCT(('Σύνοψη'!$F$2:$F289=$A232)*('Σύνοψη'!$C$2:$C289=H$3)*('Σύνοψη'!$G$2:$G289&lt;$B232)*('Σύνοψη'!$H$2:$H289&gt;$B232))&gt;0, CHAR(34), """") ), """")"),"")</f>
        <v/>
      </c>
      <c r="I232" s="3"/>
    </row>
    <row r="233" spans="1:9" x14ac:dyDescent="0.25">
      <c r="A233" s="96">
        <f t="shared" si="15"/>
        <v>46286</v>
      </c>
      <c r="B233" s="97">
        <v>0.875</v>
      </c>
      <c r="C233" s="67" t="str">
        <f ca="1">IFERROR(__xludf.DUMMYFUNCTION("IFERROR(IF(SUMPRODUCT(('Σύνοψη'!$F$2:$F289=$A233)*('Σύνοψη'!$C$2:$C289=C$3)*('Σύνοψη'!$G$2:$G289=$B233))&gt;0,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'Σύνοψη'!$C$2:$C289=C$3)), IF(SUMPRODUCT(('Σύνοψη'!$F$2:$F289=$A233)*('Σύνοψη'!$C$2:$C289=C$3)*('Σύνοψη'!$G$2:$G289&lt;$B233)*('Σύνοψη'!$H$2:$H289&gt;$B233))&gt;0, CHAR(34), """") ), """")"),"")</f>
        <v/>
      </c>
      <c r="D233" s="67" t="str">
        <f ca="1">IFERROR(__xludf.DUMMYFUNCTION("IFERROR(IF(SUMPRODUCT(('Σύνοψη'!$F$2:$F289=$A233)*('Σύνοψη'!$C$2:$C289=D$3)*('Σύνοψη'!$G$2:$G289=$B233))&gt;0,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'Σύνοψη'!$C$2:$C289=D$3)), IF(SUMPRODUCT(('Σύνοψη'!$F$2:$F289=$A233)*('Σύνοψη'!$C$2:$C289=D$3)*('Σύνοψη'!$G$2:$G289&lt;$B233)*('Σύνοψη'!$H$2:$H289&gt;$B233))&gt;0, CHAR(34), """") ), """")"),"")</f>
        <v/>
      </c>
      <c r="E233" s="67" t="str">
        <f ca="1">IFERROR(__xludf.DUMMYFUNCTION("IFERROR(IF(SUMPRODUCT(('Σύνοψη'!$F$2:$F289=$A233)*('Σύνοψη'!$C$2:$C289=E$3)*('Σύνοψη'!$G$2:$G289=$B233))&gt;0,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'Σύνοψη'!$C$2:$C289=E$3)), IF(SUMPRODUCT(('Σύνοψη'!$F$2:$F289=$A233)*('Σύνοψη'!$C$2:$C289=E$3)*('Σύνοψη'!$G$2:$G289&lt;$B233)*('Σύνοψη'!$H$2:$H289&gt;$B233))&gt;0, CHAR(34), """") ), """")"),"")</f>
        <v/>
      </c>
      <c r="F233" s="67" t="str">
        <f ca="1">IFERROR(__xludf.DUMMYFUNCTION("IFERROR(IF(SUMPRODUCT(('Σύνοψη'!$F$2:$F289=$A233)*('Σύνοψη'!$C$2:$C289=F$3)*('Σύνοψη'!$G$2:$G289=$B233))&gt;0,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'Σύνοψη'!$C$2:$C289=F$3)), IF(SUMPRODUCT(('Σύνοψη'!$F$2:$F289=$A233)*('Σύνοψη'!$C$2:$C289=F$3)*('Σύνοψη'!$G$2:$G289&lt;$B233)*('Σύνοψη'!$H$2:$H289&gt;$B233))&gt;0, CHAR(34), """") ), """")"),"")</f>
        <v/>
      </c>
      <c r="G233" s="67" t="str">
        <f ca="1">IFERROR(__xludf.DUMMYFUNCTION("IFERROR(IF(SUMPRODUCT(('Σύνοψη'!$F$2:$F289=$A233)*('Σύνοψη'!$C$2:$C289=G$3)*('Σύνοψη'!$G$2:$G289=$B233))&gt;0,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'Σύνοψη'!$C$2:$C289=G$3)), IF(SUMPRODUCT(('Σύνοψη'!$F$2:$F289=$A233)*('Σύνοψη'!$C$2:$C289=G$3)*('Σύνοψη'!$G$2:$G289&lt;$B233)*('Σύνοψη'!$H$2:$H289&gt;$B233))&gt;0, CHAR(34), """") ), """")"),"")</f>
        <v/>
      </c>
      <c r="H233" s="67" t="str">
        <f ca="1">IFERROR(__xludf.DUMMYFUNCTION("IFERROR(IF(SUMPRODUCT(('Σύνοψη'!$F$2:$F289=$A233)*('Σύνοψη'!$C$2:$C289=H$3)*('Σύνοψη'!$G$2:$G289=$B233))&gt;0, TEXTJOIN(CHAR(10) &amp; ""-----------------------"" &amp; CHAR(10), TRUE, FILTER('Σύνοψη'!$E$2:$E289 &amp; "" - "" &amp; 'Σύνοψη'!$I$2:$I289 &amp; "" ("" &amp; 'Σύνοψη'!$J"&amp;"$2:$J289 &amp; "")"", 'Σύνοψη'!$F$2:$F289=$A233, 'Σύνοψη'!$G$2:$G289=$B233, 'Σύνοψη'!$C$2:$C289=H$3)), IF(SUMPRODUCT(('Σύνοψη'!$F$2:$F289=$A233)*('Σύνοψη'!$C$2:$C289=H$3)*('Σύνοψη'!$G$2:$G289&lt;$B233)*('Σύνοψη'!$H$2:$H289&gt;$B233))&gt;0, CHAR(34), """") ), """")"),"")</f>
        <v/>
      </c>
      <c r="I233" s="3"/>
    </row>
    <row r="234" spans="1:9" x14ac:dyDescent="0.25">
      <c r="A234" s="92">
        <f>$D$1+22</f>
        <v>46287</v>
      </c>
      <c r="B234" s="89">
        <v>0.33333333333333331</v>
      </c>
      <c r="C234" s="66" t="str">
        <f ca="1">IFERROR(__xludf.DUMMYFUNCTION("IFERROR(IF(SUMPRODUCT(('Σύνοψη'!$F$2:$F289=$A234)*('Σύνοψη'!$C$2:$C289=C$3)*('Σύνοψη'!$G$2:$G289=$B234))&gt;0,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'Σύνοψη'!$C$2:$C289=C$3)), IF(SUMPRODUCT(('Σύνοψη'!$F$2:$F289=$A234)*('Σύνοψη'!$C$2:$C289=C$3)*('Σύνοψη'!$G$2:$G289&lt;$B234)*('Σύνοψη'!$H$2:$H289&gt;$B234))&gt;0, CHAR(34), """") ), """")"),"")</f>
        <v/>
      </c>
      <c r="D234" s="66" t="str">
        <f ca="1">IFERROR(__xludf.DUMMYFUNCTION("IFERROR(IF(SUMPRODUCT(('Σύνοψη'!$F$2:$F289=$A234)*('Σύνοψη'!$C$2:$C289=D$3)*('Σύνοψη'!$G$2:$G289=$B234))&gt;0,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'Σύνοψη'!$C$2:$C289=D$3)), IF(SUMPRODUCT(('Σύνοψη'!$F$2:$F289=$A234)*('Σύνοψη'!$C$2:$C289=D$3)*('Σύνοψη'!$G$2:$G289&lt;$B234)*('Σύνοψη'!$H$2:$H289&gt;$B234))&gt;0, CHAR(34), """") ), """")"),"")</f>
        <v/>
      </c>
      <c r="E234" s="66" t="str">
        <f ca="1">IFERROR(__xludf.DUMMYFUNCTION("IFERROR(IF(SUMPRODUCT(('Σύνοψη'!$F$2:$F289=$A234)*('Σύνοψη'!$C$2:$C289=E$3)*('Σύνοψη'!$G$2:$G289=$B234))&gt;0,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'Σύνοψη'!$C$2:$C289=E$3)), IF(SUMPRODUCT(('Σύνοψη'!$F$2:$F289=$A234)*('Σύνοψη'!$C$2:$C289=E$3)*('Σύνοψη'!$G$2:$G289&lt;$B234)*('Σύνοψη'!$H$2:$H289&gt;$B234))&gt;0, CHAR(34), """") ), """")"),"")</f>
        <v/>
      </c>
      <c r="F234" s="66" t="str">
        <f ca="1">IFERROR(__xludf.DUMMYFUNCTION("IFERROR(IF(SUMPRODUCT(('Σύνοψη'!$F$2:$F289=$A234)*('Σύνοψη'!$C$2:$C289=F$3)*('Σύνοψη'!$G$2:$G289=$B234))&gt;0,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'Σύνοψη'!$C$2:$C289=F$3)), IF(SUMPRODUCT(('Σύνοψη'!$F$2:$F289=$A234)*('Σύνοψη'!$C$2:$C289=F$3)*('Σύνοψη'!$G$2:$G289&lt;$B234)*('Σύνοψη'!$H$2:$H289&gt;$B234))&gt;0, CHAR(34), """") ), """")"),"")</f>
        <v/>
      </c>
      <c r="G234" s="66" t="str">
        <f ca="1">IFERROR(__xludf.DUMMYFUNCTION("IFERROR(IF(SUMPRODUCT(('Σύνοψη'!$F$2:$F289=$A234)*('Σύνοψη'!$C$2:$C289=G$3)*('Σύνοψη'!$G$2:$G289=$B234))&gt;0,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'Σύνοψη'!$C$2:$C289=G$3)), IF(SUMPRODUCT(('Σύνοψη'!$F$2:$F289=$A234)*('Σύνοψη'!$C$2:$C289=G$3)*('Σύνοψη'!$G$2:$G289&lt;$B234)*('Σύνοψη'!$H$2:$H289&gt;$B234))&gt;0, CHAR(34), """") ), """")"),"")</f>
        <v/>
      </c>
      <c r="H234" s="66" t="str">
        <f ca="1">IFERROR(__xludf.DUMMYFUNCTION("IFERROR(IF(SUMPRODUCT(('Σύνοψη'!$F$2:$F289=$A234)*('Σύνοψη'!$C$2:$C289=H$3)*('Σύνοψη'!$G$2:$G289=$B234))&gt;0, TEXTJOIN(CHAR(10) &amp; ""-----------------------"" &amp; CHAR(10), TRUE, FILTER('Σύνοψη'!$E$2:$E289 &amp; "" - "" &amp; 'Σύνοψη'!$I$2:$I289 &amp; "" ("" &amp; 'Σύνοψη'!$J"&amp;"$2:$J289 &amp; "")"", 'Σύνοψη'!$F$2:$F289=$A234, 'Σύνοψη'!$G$2:$G289=$B234, 'Σύνοψη'!$C$2:$C289=H$3)), IF(SUMPRODUCT(('Σύνοψη'!$F$2:$F289=$A234)*('Σύνοψη'!$C$2:$C289=H$3)*('Σύνοψη'!$G$2:$G289&lt;$B234)*('Σύνοψη'!$H$2:$H289&gt;$B234))&gt;0, CHAR(34), """") ), """")"),"")</f>
        <v/>
      </c>
      <c r="I234" s="3"/>
    </row>
    <row r="235" spans="1:9" x14ac:dyDescent="0.25">
      <c r="A235" s="95">
        <f t="shared" ref="A235:A247" si="16">$A$234</f>
        <v>46287</v>
      </c>
      <c r="B235" s="89">
        <v>0.375</v>
      </c>
      <c r="C235" s="67" t="str">
        <f ca="1">IFERROR(__xludf.DUMMYFUNCTION("IFERROR(IF(SUMPRODUCT(('Σύνοψη'!$F$2:$F289=$A235)*('Σύνοψη'!$C$2:$C289=C$3)*('Σύνοψη'!$G$2:$G289=$B235))&gt;0,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'Σύνοψη'!$C$2:$C289=C$3)), IF(SUMPRODUCT(('Σύνοψη'!$F$2:$F289=$A235)*('Σύνοψη'!$C$2:$C289=C$3)*('Σύνοψη'!$G$2:$G289&lt;$B235)*('Σύνοψη'!$H$2:$H289&gt;$B235))&gt;0, CHAR(34), """") ), """")"),"")</f>
        <v/>
      </c>
      <c r="D235" s="67" t="str">
        <f ca="1">IFERROR(__xludf.DUMMYFUNCTION("IFERROR(IF(SUMPRODUCT(('Σύνοψη'!$F$2:$F289=$A235)*('Σύνοψη'!$C$2:$C289=D$3)*('Σύνοψη'!$G$2:$G289=$B235))&gt;0,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'Σύνοψη'!$C$2:$C289=D$3)), IF(SUMPRODUCT(('Σύνοψη'!$F$2:$F289=$A235)*('Σύνοψη'!$C$2:$C289=D$3)*('Σύνοψη'!$G$2:$G289&lt;$B235)*('Σύνοψη'!$H$2:$H289&gt;$B235))&gt;0, CHAR(34), """") ), """")"),"")</f>
        <v/>
      </c>
      <c r="E235" s="67" t="str">
        <f ca="1">IFERROR(__xludf.DUMMYFUNCTION("IFERROR(IF(SUMPRODUCT(('Σύνοψη'!$F$2:$F289=$A235)*('Σύνοψη'!$C$2:$C289=E$3)*('Σύνοψη'!$G$2:$G289=$B235))&gt;0,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'Σύνοψη'!$C$2:$C289=E$3)), IF(SUMPRODUCT(('Σύνοψη'!$F$2:$F289=$A235)*('Σύνοψη'!$C$2:$C289=E$3)*('Σύνοψη'!$G$2:$G289&lt;$B235)*('Σύνοψη'!$H$2:$H289&gt;$B235))&gt;0, CHAR(34), """") ), """")"),"")</f>
        <v/>
      </c>
      <c r="F235" s="67" t="str">
        <f ca="1">IFERROR(__xludf.DUMMYFUNCTION("IFERROR(IF(SUMPRODUCT(('Σύνοψη'!$F$2:$F289=$A235)*('Σύνοψη'!$C$2:$C289=F$3)*('Σύνοψη'!$G$2:$G289=$B235))&gt;0,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'Σύνοψη'!$C$2:$C289=F$3)), IF(SUMPRODUCT(('Σύνοψη'!$F$2:$F289=$A235)*('Σύνοψη'!$C$2:$C289=F$3)*('Σύνοψη'!$G$2:$G289&lt;$B235)*('Σύνοψη'!$H$2:$H289&gt;$B235))&gt;0, CHAR(34), """") ), """")"),"")</f>
        <v/>
      </c>
      <c r="G235" s="67" t="str">
        <f ca="1">IFERROR(__xludf.DUMMYFUNCTION("IFERROR(IF(SUMPRODUCT(('Σύνοψη'!$F$2:$F289=$A235)*('Σύνοψη'!$C$2:$C289=G$3)*('Σύνοψη'!$G$2:$G289=$B235))&gt;0,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'Σύνοψη'!$C$2:$C289=G$3)), IF(SUMPRODUCT(('Σύνοψη'!$F$2:$F289=$A235)*('Σύνοψη'!$C$2:$C289=G$3)*('Σύνοψη'!$G$2:$G289&lt;$B235)*('Σύνοψη'!$H$2:$H289&gt;$B235))&gt;0, CHAR(34), """") ), """")"),"")</f>
        <v/>
      </c>
      <c r="H235" s="67" t="str">
        <f ca="1">IFERROR(__xludf.DUMMYFUNCTION("IFERROR(IF(SUMPRODUCT(('Σύνοψη'!$F$2:$F289=$A235)*('Σύνοψη'!$C$2:$C289=H$3)*('Σύνοψη'!$G$2:$G289=$B235))&gt;0, TEXTJOIN(CHAR(10) &amp; ""-----------------------"" &amp; CHAR(10), TRUE, FILTER('Σύνοψη'!$E$2:$E289 &amp; "" - "" &amp; 'Σύνοψη'!$I$2:$I289 &amp; "" ("" &amp; 'Σύνοψη'!$J"&amp;"$2:$J289 &amp; "")"", 'Σύνοψη'!$F$2:$F289=$A235, 'Σύνοψη'!$G$2:$G289=$B235, 'Σύνοψη'!$C$2:$C289=H$3)), IF(SUMPRODUCT(('Σύνοψη'!$F$2:$F289=$A235)*('Σύνοψη'!$C$2:$C289=H$3)*('Σύνοψη'!$G$2:$G289&lt;$B235)*('Σύνοψη'!$H$2:$H289&gt;$B235))&gt;0, CHAR(34), """") ), """")"),"")</f>
        <v/>
      </c>
      <c r="I235" s="3"/>
    </row>
    <row r="236" spans="1:9" x14ac:dyDescent="0.25">
      <c r="A236" s="95">
        <f t="shared" si="16"/>
        <v>46287</v>
      </c>
      <c r="B236" s="89">
        <v>0.41666666666666669</v>
      </c>
      <c r="C236" s="67" t="str">
        <f ca="1">IFERROR(__xludf.DUMMYFUNCTION("IFERROR(IF(SUMPRODUCT(('Σύνοψη'!$F$2:$F289=$A236)*('Σύνοψη'!$C$2:$C289=C$3)*('Σύνοψη'!$G$2:$G289=$B236))&gt;0,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'Σύνοψη'!$C$2:$C289=C$3)), IF(SUMPRODUCT(('Σύνοψη'!$F$2:$F289=$A236)*('Σύνοψη'!$C$2:$C289=C$3)*('Σύνοψη'!$G$2:$G289&lt;$B236)*('Σύνοψη'!$H$2:$H289&gt;$B236))&gt;0, CHAR(34), """") ), """")"),"")</f>
        <v/>
      </c>
      <c r="D236" s="67" t="str">
        <f ca="1">IFERROR(__xludf.DUMMYFUNCTION("IFERROR(IF(SUMPRODUCT(('Σύνοψη'!$F$2:$F289=$A236)*('Σύνοψη'!$C$2:$C289=D$3)*('Σύνοψη'!$G$2:$G289=$B236))&gt;0,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'Σύνοψη'!$C$2:$C289=D$3)), IF(SUMPRODUCT(('Σύνοψη'!$F$2:$F289=$A236)*('Σύνοψη'!$C$2:$C289=D$3)*('Σύνοψη'!$G$2:$G289&lt;$B236)*('Σύνοψη'!$H$2:$H289&gt;$B236))&gt;0, CHAR(34), """") ), """")"),"")</f>
        <v/>
      </c>
      <c r="E236" s="67" t="str">
        <f ca="1">IFERROR(__xludf.DUMMYFUNCTION("IFERROR(IF(SUMPRODUCT(('Σύνοψη'!$F$2:$F289=$A236)*('Σύνοψη'!$C$2:$C289=E$3)*('Σύνοψη'!$G$2:$G289=$B236))&gt;0,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'Σύνοψη'!$C$2:$C289=E$3)), IF(SUMPRODUCT(('Σύνοψη'!$F$2:$F289=$A236)*('Σύνοψη'!$C$2:$C289=E$3)*('Σύνοψη'!$G$2:$G289&lt;$B236)*('Σύνοψη'!$H$2:$H289&gt;$B236))&gt;0, CHAR(34), """") ), """")"),"")</f>
        <v/>
      </c>
      <c r="F236" s="67" t="str">
        <f ca="1">IFERROR(__xludf.DUMMYFUNCTION("IFERROR(IF(SUMPRODUCT(('Σύνοψη'!$F$2:$F289=$A236)*('Σύνοψη'!$C$2:$C289=F$3)*('Σύνοψη'!$G$2:$G289=$B236))&gt;0,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'Σύνοψη'!$C$2:$C289=F$3)), IF(SUMPRODUCT(('Σύνοψη'!$F$2:$F289=$A236)*('Σύνοψη'!$C$2:$C289=F$3)*('Σύνοψη'!$G$2:$G289&lt;$B236)*('Σύνοψη'!$H$2:$H289&gt;$B236))&gt;0, CHAR(34), """") ), """")"),"")</f>
        <v/>
      </c>
      <c r="G236" s="67" t="str">
        <f ca="1">IFERROR(__xludf.DUMMYFUNCTION("IFERROR(IF(SUMPRODUCT(('Σύνοψη'!$F$2:$F289=$A236)*('Σύνοψη'!$C$2:$C289=G$3)*('Σύνοψη'!$G$2:$G289=$B236))&gt;0,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'Σύνοψη'!$C$2:$C289=G$3)), IF(SUMPRODUCT(('Σύνοψη'!$F$2:$F289=$A236)*('Σύνοψη'!$C$2:$C289=G$3)*('Σύνοψη'!$G$2:$G289&lt;$B236)*('Σύνοψη'!$H$2:$H289&gt;$B236))&gt;0, CHAR(34), """") ), """")"),"")</f>
        <v/>
      </c>
      <c r="H236" s="67" t="str">
        <f ca="1">IFERROR(__xludf.DUMMYFUNCTION("IFERROR(IF(SUMPRODUCT(('Σύνοψη'!$F$2:$F289=$A236)*('Σύνοψη'!$C$2:$C289=H$3)*('Σύνοψη'!$G$2:$G289=$B236))&gt;0, TEXTJOIN(CHAR(10) &amp; ""-----------------------"" &amp; CHAR(10), TRUE, FILTER('Σύνοψη'!$E$2:$E289 &amp; "" - "" &amp; 'Σύνοψη'!$I$2:$I289 &amp; "" ("" &amp; 'Σύνοψη'!$J"&amp;"$2:$J289 &amp; "")"", 'Σύνοψη'!$F$2:$F289=$A236, 'Σύνοψη'!$G$2:$G289=$B236, 'Σύνοψη'!$C$2:$C289=H$3)), IF(SUMPRODUCT(('Σύνοψη'!$F$2:$F289=$A236)*('Σύνοψη'!$C$2:$C289=H$3)*('Σύνοψη'!$G$2:$G289&lt;$B236)*('Σύνοψη'!$H$2:$H289&gt;$B236))&gt;0, CHAR(34), """") ), """")"),"")</f>
        <v/>
      </c>
      <c r="I236" s="3"/>
    </row>
    <row r="237" spans="1:9" x14ac:dyDescent="0.25">
      <c r="A237" s="95">
        <f t="shared" si="16"/>
        <v>46287</v>
      </c>
      <c r="B237" s="89">
        <v>0.45833333333333331</v>
      </c>
      <c r="C237" s="67" t="str">
        <f ca="1">IFERROR(__xludf.DUMMYFUNCTION("IFERROR(IF(SUMPRODUCT(('Σύνοψη'!$F$2:$F289=$A237)*('Σύνοψη'!$C$2:$C289=C$3)*('Σύνοψη'!$G$2:$G289=$B237))&gt;0,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'Σύνοψη'!$C$2:$C289=C$3)), IF(SUMPRODUCT(('Σύνοψη'!$F$2:$F289=$A237)*('Σύνοψη'!$C$2:$C289=C$3)*('Σύνοψη'!$G$2:$G289&lt;$B237)*('Σύνοψη'!$H$2:$H289&gt;$B237))&gt;0, CHAR(34), """") ), """")"),"")</f>
        <v/>
      </c>
      <c r="D237" s="67" t="str">
        <f ca="1">IFERROR(__xludf.DUMMYFUNCTION("IFERROR(IF(SUMPRODUCT(('Σύνοψη'!$F$2:$F289=$A237)*('Σύνοψη'!$C$2:$C289=D$3)*('Σύνοψη'!$G$2:$G289=$B237))&gt;0,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'Σύνοψη'!$C$2:$C289=D$3)), IF(SUMPRODUCT(('Σύνοψη'!$F$2:$F289=$A237)*('Σύνοψη'!$C$2:$C289=D$3)*('Σύνοψη'!$G$2:$G289&lt;$B237)*('Σύνοψη'!$H$2:$H289&gt;$B237))&gt;0, CHAR(34), """") ), """")"),"")</f>
        <v/>
      </c>
      <c r="E237" s="67" t="str">
        <f ca="1">IFERROR(__xludf.DUMMYFUNCTION("IFERROR(IF(SUMPRODUCT(('Σύνοψη'!$F$2:$F289=$A237)*('Σύνοψη'!$C$2:$C289=E$3)*('Σύνοψη'!$G$2:$G289=$B237))&gt;0,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'Σύνοψη'!$C$2:$C289=E$3)), IF(SUMPRODUCT(('Σύνοψη'!$F$2:$F289=$A237)*('Σύνοψη'!$C$2:$C289=E$3)*('Σύνοψη'!$G$2:$G289&lt;$B237)*('Σύνοψη'!$H$2:$H289&gt;$B237))&gt;0, CHAR(34), """") ), """")"),"")</f>
        <v/>
      </c>
      <c r="F237" s="67" t="str">
        <f ca="1">IFERROR(__xludf.DUMMYFUNCTION("IFERROR(IF(SUMPRODUCT(('Σύνοψη'!$F$2:$F289=$A237)*('Σύνοψη'!$C$2:$C289=F$3)*('Σύνοψη'!$G$2:$G289=$B237))&gt;0,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'Σύνοψη'!$C$2:$C289=F$3)), IF(SUMPRODUCT(('Σύνοψη'!$F$2:$F289=$A237)*('Σύνοψη'!$C$2:$C289=F$3)*('Σύνοψη'!$G$2:$G289&lt;$B237)*('Σύνοψη'!$H$2:$H289&gt;$B237))&gt;0, CHAR(34), """") ), """")"),"")</f>
        <v/>
      </c>
      <c r="G237" s="67" t="str">
        <f ca="1">IFERROR(__xludf.DUMMYFUNCTION("IFERROR(IF(SUMPRODUCT(('Σύνοψη'!$F$2:$F289=$A237)*('Σύνοψη'!$C$2:$C289=G$3)*('Σύνοψη'!$G$2:$G289=$B237))&gt;0,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'Σύνοψη'!$C$2:$C289=G$3)), IF(SUMPRODUCT(('Σύνοψη'!$F$2:$F289=$A237)*('Σύνοψη'!$C$2:$C289=G$3)*('Σύνοψη'!$G$2:$G289&lt;$B237)*('Σύνοψη'!$H$2:$H289&gt;$B237))&gt;0, CHAR(34), """") ), """")"),"")</f>
        <v/>
      </c>
      <c r="H237" s="67" t="str">
        <f ca="1">IFERROR(__xludf.DUMMYFUNCTION("IFERROR(IF(SUMPRODUCT(('Σύνοψη'!$F$2:$F289=$A237)*('Σύνοψη'!$C$2:$C289=H$3)*('Σύνοψη'!$G$2:$G289=$B237))&gt;0, TEXTJOIN(CHAR(10) &amp; ""-----------------------"" &amp; CHAR(10), TRUE, FILTER('Σύνοψη'!$E$2:$E289 &amp; "" - "" &amp; 'Σύνοψη'!$I$2:$I289 &amp; "" ("" &amp; 'Σύνοψη'!$J"&amp;"$2:$J289 &amp; "")"", 'Σύνοψη'!$F$2:$F289=$A237, 'Σύνοψη'!$G$2:$G289=$B237, 'Σύνοψη'!$C$2:$C289=H$3)), IF(SUMPRODUCT(('Σύνοψη'!$F$2:$F289=$A237)*('Σύνοψη'!$C$2:$C289=H$3)*('Σύνοψη'!$G$2:$G289&lt;$B237)*('Σύνοψη'!$H$2:$H289&gt;$B237))&gt;0, CHAR(34), """") ), """")"),"")</f>
        <v/>
      </c>
      <c r="I237" s="3"/>
    </row>
    <row r="238" spans="1:9" x14ac:dyDescent="0.25">
      <c r="A238" s="95">
        <f t="shared" si="16"/>
        <v>46287</v>
      </c>
      <c r="B238" s="89">
        <v>0.5</v>
      </c>
      <c r="C238" s="67" t="str">
        <f ca="1">IFERROR(__xludf.DUMMYFUNCTION("IFERROR(IF(SUMPRODUCT(('Σύνοψη'!$F$2:$F289=$A238)*('Σύνοψη'!$C$2:$C289=C$3)*('Σύνοψη'!$G$2:$G289=$B238))&gt;0,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'Σύνοψη'!$C$2:$C289=C$3)), IF(SUMPRODUCT(('Σύνοψη'!$F$2:$F289=$A238)*('Σύνοψη'!$C$2:$C289=C$3)*('Σύνοψη'!$G$2:$G289&lt;$B238)*('Σύνοψη'!$H$2:$H289&gt;$B238))&gt;0, CHAR(34), """") ), """")"),"")</f>
        <v/>
      </c>
      <c r="D238" s="67" t="str">
        <f ca="1">IFERROR(__xludf.DUMMYFUNCTION("IFERROR(IF(SUMPRODUCT(('Σύνοψη'!$F$2:$F289=$A238)*('Σύνοψη'!$C$2:$C289=D$3)*('Σύνοψη'!$G$2:$G289=$B238))&gt;0,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'Σύνοψη'!$C$2:$C289=D$3)), IF(SUMPRODUCT(('Σύνοψη'!$F$2:$F289=$A238)*('Σύνοψη'!$C$2:$C289=D$3)*('Σύνοψη'!$G$2:$G289&lt;$B238)*('Σύνοψη'!$H$2:$H289&gt;$B238))&gt;0, CHAR(34), """") ), """")"),"")</f>
        <v/>
      </c>
      <c r="E238" s="67" t="str">
        <f ca="1">IFERROR(__xludf.DUMMYFUNCTION("IFERROR(IF(SUMPRODUCT(('Σύνοψη'!$F$2:$F289=$A238)*('Σύνοψη'!$C$2:$C289=E$3)*('Σύνοψη'!$G$2:$G289=$B238))&gt;0,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'Σύνοψη'!$C$2:$C289=E$3)), IF(SUMPRODUCT(('Σύνοψη'!$F$2:$F289=$A238)*('Σύνοψη'!$C$2:$C289=E$3)*('Σύνοψη'!$G$2:$G289&lt;$B238)*('Σύνοψη'!$H$2:$H289&gt;$B238))&gt;0, CHAR(34), """") ), """")"),"")</f>
        <v/>
      </c>
      <c r="F238" s="67" t="str">
        <f ca="1">IFERROR(__xludf.DUMMYFUNCTION("IFERROR(IF(SUMPRODUCT(('Σύνοψη'!$F$2:$F289=$A238)*('Σύνοψη'!$C$2:$C289=F$3)*('Σύνοψη'!$G$2:$G289=$B238))&gt;0,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'Σύνοψη'!$C$2:$C289=F$3)), IF(SUMPRODUCT(('Σύνοψη'!$F$2:$F289=$A238)*('Σύνοψη'!$C$2:$C289=F$3)*('Σύνοψη'!$G$2:$G289&lt;$B238)*('Σύνοψη'!$H$2:$H289&gt;$B238))&gt;0, CHAR(34), """") ), """")"),"")</f>
        <v/>
      </c>
      <c r="G238" s="67" t="str">
        <f ca="1">IFERROR(__xludf.DUMMYFUNCTION("IFERROR(IF(SUMPRODUCT(('Σύνοψη'!$F$2:$F289=$A238)*('Σύνοψη'!$C$2:$C289=G$3)*('Σύνοψη'!$G$2:$G289=$B238))&gt;0,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'Σύνοψη'!$C$2:$C289=G$3)), IF(SUMPRODUCT(('Σύνοψη'!$F$2:$F289=$A238)*('Σύνοψη'!$C$2:$C289=G$3)*('Σύνοψη'!$G$2:$G289&lt;$B238)*('Σύνοψη'!$H$2:$H289&gt;$B238))&gt;0, CHAR(34), """") ), """")"),"")</f>
        <v/>
      </c>
      <c r="H238" s="67" t="str">
        <f ca="1">IFERROR(__xludf.DUMMYFUNCTION("IFERROR(IF(SUMPRODUCT(('Σύνοψη'!$F$2:$F289=$A238)*('Σύνοψη'!$C$2:$C289=H$3)*('Σύνοψη'!$G$2:$G289=$B238))&gt;0, TEXTJOIN(CHAR(10) &amp; ""-----------------------"" &amp; CHAR(10), TRUE, FILTER('Σύνοψη'!$E$2:$E289 &amp; "" - "" &amp; 'Σύνοψη'!$I$2:$I289 &amp; "" ("" &amp; 'Σύνοψη'!$J"&amp;"$2:$J289 &amp; "")"", 'Σύνοψη'!$F$2:$F289=$A238, 'Σύνοψη'!$G$2:$G289=$B238, 'Σύνοψη'!$C$2:$C289=H$3)), IF(SUMPRODUCT(('Σύνοψη'!$F$2:$F289=$A238)*('Σύνοψη'!$C$2:$C289=H$3)*('Σύνοψη'!$G$2:$G289&lt;$B238)*('Σύνοψη'!$H$2:$H289&gt;$B238))&gt;0, CHAR(34), """") ), """")"),"")</f>
        <v/>
      </c>
      <c r="I238" s="3"/>
    </row>
    <row r="239" spans="1:9" x14ac:dyDescent="0.25">
      <c r="A239" s="95">
        <f t="shared" si="16"/>
        <v>46287</v>
      </c>
      <c r="B239" s="89">
        <v>0.54166666666666663</v>
      </c>
      <c r="C239" s="67" t="str">
        <f ca="1">IFERROR(__xludf.DUMMYFUNCTION("IFERROR(IF(SUMPRODUCT(('Σύνοψη'!$F$2:$F289=$A239)*('Σύνοψη'!$C$2:$C289=C$3)*('Σύνοψη'!$G$2:$G289=$B239))&gt;0,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'Σύνοψη'!$C$2:$C289=C$3)), IF(SUMPRODUCT(('Σύνοψη'!$F$2:$F289=$A239)*('Σύνοψη'!$C$2:$C289=C$3)*('Σύνοψη'!$G$2:$G289&lt;$B239)*('Σύνοψη'!$H$2:$H289&gt;$B239))&gt;0, CHAR(34), """") ), """")"),"")</f>
        <v/>
      </c>
      <c r="D239" s="67" t="str">
        <f ca="1">IFERROR(__xludf.DUMMYFUNCTION("IFERROR(IF(SUMPRODUCT(('Σύνοψη'!$F$2:$F289=$A239)*('Σύνοψη'!$C$2:$C289=D$3)*('Σύνοψη'!$G$2:$G289=$B239))&gt;0,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'Σύνοψη'!$C$2:$C289=D$3)), IF(SUMPRODUCT(('Σύνοψη'!$F$2:$F289=$A239)*('Σύνοψη'!$C$2:$C289=D$3)*('Σύνοψη'!$G$2:$G289&lt;$B239)*('Σύνοψη'!$H$2:$H289&gt;$B239))&gt;0, CHAR(34), """") ), """")"),"")</f>
        <v/>
      </c>
      <c r="E239" s="67" t="str">
        <f ca="1">IFERROR(__xludf.DUMMYFUNCTION("IFERROR(IF(SUMPRODUCT(('Σύνοψη'!$F$2:$F289=$A239)*('Σύνοψη'!$C$2:$C289=E$3)*('Σύνοψη'!$G$2:$G289=$B239))&gt;0,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'Σύνοψη'!$C$2:$C289=E$3)), IF(SUMPRODUCT(('Σύνοψη'!$F$2:$F289=$A239)*('Σύνοψη'!$C$2:$C289=E$3)*('Σύνοψη'!$G$2:$G289&lt;$B239)*('Σύνοψη'!$H$2:$H289&gt;$B239))&gt;0, CHAR(34), """") ), """")"),"")</f>
        <v/>
      </c>
      <c r="F239" s="67" t="str">
        <f ca="1">IFERROR(__xludf.DUMMYFUNCTION("IFERROR(IF(SUMPRODUCT(('Σύνοψη'!$F$2:$F289=$A239)*('Σύνοψη'!$C$2:$C289=F$3)*('Σύνοψη'!$G$2:$G289=$B239))&gt;0,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'Σύνοψη'!$C$2:$C289=F$3)), IF(SUMPRODUCT(('Σύνοψη'!$F$2:$F289=$A239)*('Σύνοψη'!$C$2:$C289=F$3)*('Σύνοψη'!$G$2:$G289&lt;$B239)*('Σύνοψη'!$H$2:$H289&gt;$B239))&gt;0, CHAR(34), """") ), """")"),"")</f>
        <v/>
      </c>
      <c r="G239" s="67" t="str">
        <f ca="1">IFERROR(__xludf.DUMMYFUNCTION("IFERROR(IF(SUMPRODUCT(('Σύνοψη'!$F$2:$F289=$A239)*('Σύνοψη'!$C$2:$C289=G$3)*('Σύνοψη'!$G$2:$G289=$B239))&gt;0,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'Σύνοψη'!$C$2:$C289=G$3)), IF(SUMPRODUCT(('Σύνοψη'!$F$2:$F289=$A239)*('Σύνοψη'!$C$2:$C289=G$3)*('Σύνοψη'!$G$2:$G289&lt;$B239)*('Σύνοψη'!$H$2:$H289&gt;$B239))&gt;0, CHAR(34), """") ), """")"),"")</f>
        <v/>
      </c>
      <c r="H239" s="67" t="str">
        <f ca="1">IFERROR(__xludf.DUMMYFUNCTION("IFERROR(IF(SUMPRODUCT(('Σύνοψη'!$F$2:$F289=$A239)*('Σύνοψη'!$C$2:$C289=H$3)*('Σύνοψη'!$G$2:$G289=$B239))&gt;0, TEXTJOIN(CHAR(10) &amp; ""-----------------------"" &amp; CHAR(10), TRUE, FILTER('Σύνοψη'!$E$2:$E289 &amp; "" - "" &amp; 'Σύνοψη'!$I$2:$I289 &amp; "" ("" &amp; 'Σύνοψη'!$J"&amp;"$2:$J289 &amp; "")"", 'Σύνοψη'!$F$2:$F289=$A239, 'Σύνοψη'!$G$2:$G289=$B239, 'Σύνοψη'!$C$2:$C289=H$3)), IF(SUMPRODUCT(('Σύνοψη'!$F$2:$F289=$A239)*('Σύνοψη'!$C$2:$C289=H$3)*('Σύνοψη'!$G$2:$G289&lt;$B239)*('Σύνοψη'!$H$2:$H289&gt;$B239))&gt;0, CHAR(34), """") ), """")"),"")</f>
        <v/>
      </c>
      <c r="I239" s="3"/>
    </row>
    <row r="240" spans="1:9" x14ac:dyDescent="0.25">
      <c r="A240" s="95">
        <f t="shared" si="16"/>
        <v>46287</v>
      </c>
      <c r="B240" s="89">
        <v>0.58333333333333337</v>
      </c>
      <c r="C240" s="67" t="str">
        <f ca="1">IFERROR(__xludf.DUMMYFUNCTION("IFERROR(IF(SUMPRODUCT(('Σύνοψη'!$F$2:$F289=$A240)*('Σύνοψη'!$C$2:$C289=C$3)*('Σύνοψη'!$G$2:$G289=$B240))&gt;0,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'Σύνοψη'!$C$2:$C289=C$3)), IF(SUMPRODUCT(('Σύνοψη'!$F$2:$F289=$A240)*('Σύνοψη'!$C$2:$C289=C$3)*('Σύνοψη'!$G$2:$G289&lt;$B240)*('Σύνοψη'!$H$2:$H289&gt;$B240))&gt;0, CHAR(34), """") ), """")"),"")</f>
        <v/>
      </c>
      <c r="D240" s="67" t="str">
        <f ca="1">IFERROR(__xludf.DUMMYFUNCTION("IFERROR(IF(SUMPRODUCT(('Σύνοψη'!$F$2:$F289=$A240)*('Σύνοψη'!$C$2:$C289=D$3)*('Σύνοψη'!$G$2:$G289=$B240))&gt;0,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'Σύνοψη'!$C$2:$C289=D$3)), IF(SUMPRODUCT(('Σύνοψη'!$F$2:$F289=$A240)*('Σύνοψη'!$C$2:$C289=D$3)*('Σύνοψη'!$G$2:$G289&lt;$B240)*('Σύνοψη'!$H$2:$H289&gt;$B240))&gt;0, CHAR(34), """") ), """")"),"")</f>
        <v/>
      </c>
      <c r="E240" s="67" t="str">
        <f ca="1">IFERROR(__xludf.DUMMYFUNCTION("IFERROR(IF(SUMPRODUCT(('Σύνοψη'!$F$2:$F289=$A240)*('Σύνοψη'!$C$2:$C289=E$3)*('Σύνοψη'!$G$2:$G289=$B240))&gt;0,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'Σύνοψη'!$C$2:$C289=E$3)), IF(SUMPRODUCT(('Σύνοψη'!$F$2:$F289=$A240)*('Σύνοψη'!$C$2:$C289=E$3)*('Σύνοψη'!$G$2:$G289&lt;$B240)*('Σύνοψη'!$H$2:$H289&gt;$B240))&gt;0, CHAR(34), """") ), """")"),"")</f>
        <v/>
      </c>
      <c r="F240" s="67" t="str">
        <f ca="1">IFERROR(__xludf.DUMMYFUNCTION("IFERROR(IF(SUMPRODUCT(('Σύνοψη'!$F$2:$F289=$A240)*('Σύνοψη'!$C$2:$C289=F$3)*('Σύνοψη'!$G$2:$G289=$B240))&gt;0,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'Σύνοψη'!$C$2:$C289=F$3)), IF(SUMPRODUCT(('Σύνοψη'!$F$2:$F289=$A240)*('Σύνοψη'!$C$2:$C289=F$3)*('Σύνοψη'!$G$2:$G289&lt;$B240)*('Σύνοψη'!$H$2:$H289&gt;$B240))&gt;0, CHAR(34), """") ), """")"),"")</f>
        <v/>
      </c>
      <c r="G240" s="67" t="str">
        <f ca="1">IFERROR(__xludf.DUMMYFUNCTION("IFERROR(IF(SUMPRODUCT(('Σύνοψη'!$F$2:$F289=$A240)*('Σύνοψη'!$C$2:$C289=G$3)*('Σύνοψη'!$G$2:$G289=$B240))&gt;0,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'Σύνοψη'!$C$2:$C289=G$3)), IF(SUMPRODUCT(('Σύνοψη'!$F$2:$F289=$A240)*('Σύνοψη'!$C$2:$C289=G$3)*('Σύνοψη'!$G$2:$G289&lt;$B240)*('Σύνοψη'!$H$2:$H289&gt;$B240))&gt;0, CHAR(34), """") ), """")"),"")</f>
        <v/>
      </c>
      <c r="H240" s="67" t="str">
        <f ca="1">IFERROR(__xludf.DUMMYFUNCTION("IFERROR(IF(SUMPRODUCT(('Σύνοψη'!$F$2:$F289=$A240)*('Σύνοψη'!$C$2:$C289=H$3)*('Σύνοψη'!$G$2:$G289=$B240))&gt;0, TEXTJOIN(CHAR(10) &amp; ""-----------------------"" &amp; CHAR(10), TRUE, FILTER('Σύνοψη'!$E$2:$E289 &amp; "" - "" &amp; 'Σύνοψη'!$I$2:$I289 &amp; "" ("" &amp; 'Σύνοψη'!$J"&amp;"$2:$J289 &amp; "")"", 'Σύνοψη'!$F$2:$F289=$A240, 'Σύνοψη'!$G$2:$G289=$B240, 'Σύνοψη'!$C$2:$C289=H$3)), IF(SUMPRODUCT(('Σύνοψη'!$F$2:$F289=$A240)*('Σύνοψη'!$C$2:$C289=H$3)*('Σύνοψη'!$G$2:$G289&lt;$B240)*('Σύνοψη'!$H$2:$H289&gt;$B240))&gt;0, CHAR(34), """") ), """")"),"")</f>
        <v/>
      </c>
      <c r="I240" s="3"/>
    </row>
    <row r="241" spans="1:9" x14ac:dyDescent="0.25">
      <c r="A241" s="95">
        <f t="shared" si="16"/>
        <v>46287</v>
      </c>
      <c r="B241" s="89">
        <v>0.625</v>
      </c>
      <c r="C241" s="67" t="str">
        <f ca="1">IFERROR(__xludf.DUMMYFUNCTION("IFERROR(IF(SUMPRODUCT(('Σύνοψη'!$F$2:$F289=$A241)*('Σύνοψη'!$C$2:$C289=C$3)*('Σύνοψη'!$G$2:$G289=$B241))&gt;0,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'Σύνοψη'!$C$2:$C289=C$3)), IF(SUMPRODUCT(('Σύνοψη'!$F$2:$F289=$A241)*('Σύνοψη'!$C$2:$C289=C$3)*('Σύνοψη'!$G$2:$G289&lt;$B241)*('Σύνοψη'!$H$2:$H289&gt;$B241))&gt;0, CHAR(34), """") ), """")"),"")</f>
        <v/>
      </c>
      <c r="D241" s="67" t="str">
        <f ca="1">IFERROR(__xludf.DUMMYFUNCTION("IFERROR(IF(SUMPRODUCT(('Σύνοψη'!$F$2:$F289=$A241)*('Σύνοψη'!$C$2:$C289=D$3)*('Σύνοψη'!$G$2:$G289=$B241))&gt;0,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'Σύνοψη'!$C$2:$C289=D$3)), IF(SUMPRODUCT(('Σύνοψη'!$F$2:$F289=$A241)*('Σύνοψη'!$C$2:$C289=D$3)*('Σύνοψη'!$G$2:$G289&lt;$B241)*('Σύνοψη'!$H$2:$H289&gt;$B241))&gt;0, CHAR(34), """") ), """")"),"")</f>
        <v/>
      </c>
      <c r="E241" s="67" t="str">
        <f ca="1">IFERROR(__xludf.DUMMYFUNCTION("IFERROR(IF(SUMPRODUCT(('Σύνοψη'!$F$2:$F289=$A241)*('Σύνοψη'!$C$2:$C289=E$3)*('Σύνοψη'!$G$2:$G289=$B241))&gt;0,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'Σύνοψη'!$C$2:$C289=E$3)), IF(SUMPRODUCT(('Σύνοψη'!$F$2:$F289=$A241)*('Σύνοψη'!$C$2:$C289=E$3)*('Σύνοψη'!$G$2:$G289&lt;$B241)*('Σύνοψη'!$H$2:$H289&gt;$B241))&gt;0, CHAR(34), """") ), """")"),"")</f>
        <v/>
      </c>
      <c r="F241" s="67" t="str">
        <f ca="1">IFERROR(__xludf.DUMMYFUNCTION("IFERROR(IF(SUMPRODUCT(('Σύνοψη'!$F$2:$F289=$A241)*('Σύνοψη'!$C$2:$C289=F$3)*('Σύνοψη'!$G$2:$G289=$B241))&gt;0,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'Σύνοψη'!$C$2:$C289=F$3)), IF(SUMPRODUCT(('Σύνοψη'!$F$2:$F289=$A241)*('Σύνοψη'!$C$2:$C289=F$3)*('Σύνοψη'!$G$2:$G289&lt;$B241)*('Σύνοψη'!$H$2:$H289&gt;$B241))&gt;0, CHAR(34), """") ), """")"),"")</f>
        <v/>
      </c>
      <c r="G241" s="67" t="str">
        <f ca="1">IFERROR(__xludf.DUMMYFUNCTION("IFERROR(IF(SUMPRODUCT(('Σύνοψη'!$F$2:$F289=$A241)*('Σύνοψη'!$C$2:$C289=G$3)*('Σύνοψη'!$G$2:$G289=$B241))&gt;0,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'Σύνοψη'!$C$2:$C289=G$3)), IF(SUMPRODUCT(('Σύνοψη'!$F$2:$F289=$A241)*('Σύνοψη'!$C$2:$C289=G$3)*('Σύνοψη'!$G$2:$G289&lt;$B241)*('Σύνοψη'!$H$2:$H289&gt;$B241))&gt;0, CHAR(34), """") ), """")"),"")</f>
        <v/>
      </c>
      <c r="H241" s="67" t="str">
        <f ca="1">IFERROR(__xludf.DUMMYFUNCTION("IFERROR(IF(SUMPRODUCT(('Σύνοψη'!$F$2:$F289=$A241)*('Σύνοψη'!$C$2:$C289=H$3)*('Σύνοψη'!$G$2:$G289=$B241))&gt;0, TEXTJOIN(CHAR(10) &amp; ""-----------------------"" &amp; CHAR(10), TRUE, FILTER('Σύνοψη'!$E$2:$E289 &amp; "" - "" &amp; 'Σύνοψη'!$I$2:$I289 &amp; "" ("" &amp; 'Σύνοψη'!$J"&amp;"$2:$J289 &amp; "")"", 'Σύνοψη'!$F$2:$F289=$A241, 'Σύνοψη'!$G$2:$G289=$B241, 'Σύνοψη'!$C$2:$C289=H$3)), IF(SUMPRODUCT(('Σύνοψη'!$F$2:$F289=$A241)*('Σύνοψη'!$C$2:$C289=H$3)*('Σύνοψη'!$G$2:$G289&lt;$B241)*('Σύνοψη'!$H$2:$H289&gt;$B241))&gt;0, CHAR(34), """") ), """")"),"")</f>
        <v/>
      </c>
      <c r="I241" s="3"/>
    </row>
    <row r="242" spans="1:9" x14ac:dyDescent="0.25">
      <c r="A242" s="95">
        <f t="shared" si="16"/>
        <v>46287</v>
      </c>
      <c r="B242" s="89">
        <v>0.66666666666666663</v>
      </c>
      <c r="C242" s="67" t="str">
        <f ca="1">IFERROR(__xludf.DUMMYFUNCTION("IFERROR(IF(SUMPRODUCT(('Σύνοψη'!$F$2:$F289=$A242)*('Σύνοψη'!$C$2:$C289=C$3)*('Σύνοψη'!$G$2:$G289=$B242))&gt;0,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'Σύνοψη'!$C$2:$C289=C$3)), IF(SUMPRODUCT(('Σύνοψη'!$F$2:$F289=$A242)*('Σύνοψη'!$C$2:$C289=C$3)*('Σύνοψη'!$G$2:$G289&lt;$B242)*('Σύνοψη'!$H$2:$H289&gt;$B242))&gt;0, CHAR(34), """") ), """")"),"")</f>
        <v/>
      </c>
      <c r="D242" s="67" t="str">
        <f ca="1">IFERROR(__xludf.DUMMYFUNCTION("IFERROR(IF(SUMPRODUCT(('Σύνοψη'!$F$2:$F289=$A242)*('Σύνοψη'!$C$2:$C289=D$3)*('Σύνοψη'!$G$2:$G289=$B242))&gt;0,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'Σύνοψη'!$C$2:$C289=D$3)), IF(SUMPRODUCT(('Σύνοψη'!$F$2:$F289=$A242)*('Σύνοψη'!$C$2:$C289=D$3)*('Σύνοψη'!$G$2:$G289&lt;$B242)*('Σύνοψη'!$H$2:$H289&gt;$B242))&gt;0, CHAR(34), """") ), """")"),"")</f>
        <v/>
      </c>
      <c r="E242" s="67" t="str">
        <f ca="1">IFERROR(__xludf.DUMMYFUNCTION("IFERROR(IF(SUMPRODUCT(('Σύνοψη'!$F$2:$F289=$A242)*('Σύνοψη'!$C$2:$C289=E$3)*('Σύνοψη'!$G$2:$G289=$B242))&gt;0,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'Σύνοψη'!$C$2:$C289=E$3)), IF(SUMPRODUCT(('Σύνοψη'!$F$2:$F289=$A242)*('Σύνοψη'!$C$2:$C289=E$3)*('Σύνοψη'!$G$2:$G289&lt;$B242)*('Σύνοψη'!$H$2:$H289&gt;$B242))&gt;0, CHAR(34), """") ), """")"),"")</f>
        <v/>
      </c>
      <c r="F242" s="67" t="str">
        <f ca="1">IFERROR(__xludf.DUMMYFUNCTION("IFERROR(IF(SUMPRODUCT(('Σύνοψη'!$F$2:$F289=$A242)*('Σύνοψη'!$C$2:$C289=F$3)*('Σύνοψη'!$G$2:$G289=$B242))&gt;0,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'Σύνοψη'!$C$2:$C289=F$3)), IF(SUMPRODUCT(('Σύνοψη'!$F$2:$F289=$A242)*('Σύνοψη'!$C$2:$C289=F$3)*('Σύνοψη'!$G$2:$G289&lt;$B242)*('Σύνοψη'!$H$2:$H289&gt;$B242))&gt;0, CHAR(34), """") ), """")"),"")</f>
        <v/>
      </c>
      <c r="G242" s="67" t="str">
        <f ca="1">IFERROR(__xludf.DUMMYFUNCTION("IFERROR(IF(SUMPRODUCT(('Σύνοψη'!$F$2:$F289=$A242)*('Σύνοψη'!$C$2:$C289=G$3)*('Σύνοψη'!$G$2:$G289=$B242))&gt;0,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'Σύνοψη'!$C$2:$C289=G$3)), IF(SUMPRODUCT(('Σύνοψη'!$F$2:$F289=$A242)*('Σύνοψη'!$C$2:$C289=G$3)*('Σύνοψη'!$G$2:$G289&lt;$B242)*('Σύνοψη'!$H$2:$H289&gt;$B242))&gt;0, CHAR(34), """") ), """")"),"")</f>
        <v/>
      </c>
      <c r="H242" s="67" t="str">
        <f ca="1">IFERROR(__xludf.DUMMYFUNCTION("IFERROR(IF(SUMPRODUCT(('Σύνοψη'!$F$2:$F289=$A242)*('Σύνοψη'!$C$2:$C289=H$3)*('Σύνοψη'!$G$2:$G289=$B242))&gt;0, TEXTJOIN(CHAR(10) &amp; ""-----------------------"" &amp; CHAR(10), TRUE, FILTER('Σύνοψη'!$E$2:$E289 &amp; "" - "" &amp; 'Σύνοψη'!$I$2:$I289 &amp; "" ("" &amp; 'Σύνοψη'!$J"&amp;"$2:$J289 &amp; "")"", 'Σύνοψη'!$F$2:$F289=$A242, 'Σύνοψη'!$G$2:$G289=$B242, 'Σύνοψη'!$C$2:$C289=H$3)), IF(SUMPRODUCT(('Σύνοψη'!$F$2:$F289=$A242)*('Σύνοψη'!$C$2:$C289=H$3)*('Σύνοψη'!$G$2:$G289&lt;$B242)*('Σύνοψη'!$H$2:$H289&gt;$B242))&gt;0, CHAR(34), """") ), """")"),"")</f>
        <v/>
      </c>
      <c r="I242" s="3"/>
    </row>
    <row r="243" spans="1:9" x14ac:dyDescent="0.25">
      <c r="A243" s="95">
        <f t="shared" si="16"/>
        <v>46287</v>
      </c>
      <c r="B243" s="89">
        <v>0.70833333333333337</v>
      </c>
      <c r="C243" s="67" t="str">
        <f ca="1">IFERROR(__xludf.DUMMYFUNCTION("IFERROR(IF(SUMPRODUCT(('Σύνοψη'!$F$2:$F289=$A243)*('Σύνοψη'!$C$2:$C289=C$3)*('Σύνοψη'!$G$2:$G289=$B243))&gt;0,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'Σύνοψη'!$C$2:$C289=C$3)), IF(SUMPRODUCT(('Σύνοψη'!$F$2:$F289=$A243)*('Σύνοψη'!$C$2:$C289=C$3)*('Σύνοψη'!$G$2:$G289&lt;$B243)*('Σύνοψη'!$H$2:$H289&gt;$B243))&gt;0, CHAR(34), """") ), """")"),"")</f>
        <v/>
      </c>
      <c r="D243" s="67" t="str">
        <f ca="1">IFERROR(__xludf.DUMMYFUNCTION("IFERROR(IF(SUMPRODUCT(('Σύνοψη'!$F$2:$F289=$A243)*('Σύνοψη'!$C$2:$C289=D$3)*('Σύνοψη'!$G$2:$G289=$B243))&gt;0,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'Σύνοψη'!$C$2:$C289=D$3)), IF(SUMPRODUCT(('Σύνοψη'!$F$2:$F289=$A243)*('Σύνοψη'!$C$2:$C289=D$3)*('Σύνοψη'!$G$2:$G289&lt;$B243)*('Σύνοψη'!$H$2:$H289&gt;$B243))&gt;0, CHAR(34), """") ), """")"),"")</f>
        <v/>
      </c>
      <c r="E243" s="67" t="str">
        <f ca="1">IFERROR(__xludf.DUMMYFUNCTION("IFERROR(IF(SUMPRODUCT(('Σύνοψη'!$F$2:$F289=$A243)*('Σύνοψη'!$C$2:$C289=E$3)*('Σύνοψη'!$G$2:$G289=$B243))&gt;0,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'Σύνοψη'!$C$2:$C289=E$3)), IF(SUMPRODUCT(('Σύνοψη'!$F$2:$F289=$A243)*('Σύνοψη'!$C$2:$C289=E$3)*('Σύνοψη'!$G$2:$G289&lt;$B243)*('Σύνοψη'!$H$2:$H289&gt;$B243))&gt;0, CHAR(34), """") ), """")"),"")</f>
        <v/>
      </c>
      <c r="F243" s="67" t="str">
        <f ca="1">IFERROR(__xludf.DUMMYFUNCTION("IFERROR(IF(SUMPRODUCT(('Σύνοψη'!$F$2:$F289=$A243)*('Σύνοψη'!$C$2:$C289=F$3)*('Σύνοψη'!$G$2:$G289=$B243))&gt;0,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'Σύνοψη'!$C$2:$C289=F$3)), IF(SUMPRODUCT(('Σύνοψη'!$F$2:$F289=$A243)*('Σύνοψη'!$C$2:$C289=F$3)*('Σύνοψη'!$G$2:$G289&lt;$B243)*('Σύνοψη'!$H$2:$H289&gt;$B243))&gt;0, CHAR(34), """") ), """")"),"")</f>
        <v/>
      </c>
      <c r="G243" s="67" t="str">
        <f ca="1">IFERROR(__xludf.DUMMYFUNCTION("IFERROR(IF(SUMPRODUCT(('Σύνοψη'!$F$2:$F289=$A243)*('Σύνοψη'!$C$2:$C289=G$3)*('Σύνοψη'!$G$2:$G289=$B243))&gt;0,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'Σύνοψη'!$C$2:$C289=G$3)), IF(SUMPRODUCT(('Σύνοψη'!$F$2:$F289=$A243)*('Σύνοψη'!$C$2:$C289=G$3)*('Σύνοψη'!$G$2:$G289&lt;$B243)*('Σύνοψη'!$H$2:$H289&gt;$B243))&gt;0, CHAR(34), """") ), """")"),"")</f>
        <v/>
      </c>
      <c r="H243" s="67" t="str">
        <f ca="1">IFERROR(__xludf.DUMMYFUNCTION("IFERROR(IF(SUMPRODUCT(('Σύνοψη'!$F$2:$F289=$A243)*('Σύνοψη'!$C$2:$C289=H$3)*('Σύνοψη'!$G$2:$G289=$B243))&gt;0, TEXTJOIN(CHAR(10) &amp; ""-----------------------"" &amp; CHAR(10), TRUE, FILTER('Σύνοψη'!$E$2:$E289 &amp; "" - "" &amp; 'Σύνοψη'!$I$2:$I289 &amp; "" ("" &amp; 'Σύνοψη'!$J"&amp;"$2:$J289 &amp; "")"", 'Σύνοψη'!$F$2:$F289=$A243, 'Σύνοψη'!$G$2:$G289=$B243, 'Σύνοψη'!$C$2:$C289=H$3)), IF(SUMPRODUCT(('Σύνοψη'!$F$2:$F289=$A243)*('Σύνοψη'!$C$2:$C289=H$3)*('Σύνοψη'!$G$2:$G289&lt;$B243)*('Σύνοψη'!$H$2:$H289&gt;$B243))&gt;0, CHAR(34), """") ), """")"),"")</f>
        <v/>
      </c>
      <c r="I243" s="3"/>
    </row>
    <row r="244" spans="1:9" x14ac:dyDescent="0.25">
      <c r="A244" s="95">
        <f t="shared" si="16"/>
        <v>46287</v>
      </c>
      <c r="B244" s="89">
        <v>0.75</v>
      </c>
      <c r="C244" s="67" t="str">
        <f ca="1">IFERROR(__xludf.DUMMYFUNCTION("IFERROR(IF(SUMPRODUCT(('Σύνοψη'!$F$2:$F289=$A244)*('Σύνοψη'!$C$2:$C289=C$3)*('Σύνοψη'!$G$2:$G289=$B244))&gt;0,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'Σύνοψη'!$C$2:$C289=C$3)), IF(SUMPRODUCT(('Σύνοψη'!$F$2:$F289=$A244)*('Σύνοψη'!$C$2:$C289=C$3)*('Σύνοψη'!$G$2:$G289&lt;$B244)*('Σύνοψη'!$H$2:$H289&gt;$B244))&gt;0, CHAR(34), """") ), """")"),"")</f>
        <v/>
      </c>
      <c r="D244" s="67" t="str">
        <f ca="1">IFERROR(__xludf.DUMMYFUNCTION("IFERROR(IF(SUMPRODUCT(('Σύνοψη'!$F$2:$F289=$A244)*('Σύνοψη'!$C$2:$C289=D$3)*('Σύνοψη'!$G$2:$G289=$B244))&gt;0,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'Σύνοψη'!$C$2:$C289=D$3)), IF(SUMPRODUCT(('Σύνοψη'!$F$2:$F289=$A244)*('Σύνοψη'!$C$2:$C289=D$3)*('Σύνοψη'!$G$2:$G289&lt;$B244)*('Σύνοψη'!$H$2:$H289&gt;$B244))&gt;0, CHAR(34), """") ), """")"),"")</f>
        <v/>
      </c>
      <c r="E244" s="67" t="str">
        <f ca="1">IFERROR(__xludf.DUMMYFUNCTION("IFERROR(IF(SUMPRODUCT(('Σύνοψη'!$F$2:$F289=$A244)*('Σύνοψη'!$C$2:$C289=E$3)*('Σύνοψη'!$G$2:$G289=$B244))&gt;0,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'Σύνοψη'!$C$2:$C289=E$3)), IF(SUMPRODUCT(('Σύνοψη'!$F$2:$F289=$A244)*('Σύνοψη'!$C$2:$C289=E$3)*('Σύνοψη'!$G$2:$G289&lt;$B244)*('Σύνοψη'!$H$2:$H289&gt;$B244))&gt;0, CHAR(34), """") ), """")"),"")</f>
        <v/>
      </c>
      <c r="F244" s="67" t="str">
        <f ca="1">IFERROR(__xludf.DUMMYFUNCTION("IFERROR(IF(SUMPRODUCT(('Σύνοψη'!$F$2:$F289=$A244)*('Σύνοψη'!$C$2:$C289=F$3)*('Σύνοψη'!$G$2:$G289=$B244))&gt;0,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'Σύνοψη'!$C$2:$C289=F$3)), IF(SUMPRODUCT(('Σύνοψη'!$F$2:$F289=$A244)*('Σύνοψη'!$C$2:$C289=F$3)*('Σύνοψη'!$G$2:$G289&lt;$B244)*('Σύνοψη'!$H$2:$H289&gt;$B244))&gt;0, CHAR(34), """") ), """")"),"")</f>
        <v/>
      </c>
      <c r="G244" s="67" t="str">
        <f ca="1">IFERROR(__xludf.DUMMYFUNCTION("IFERROR(IF(SUMPRODUCT(('Σύνοψη'!$F$2:$F289=$A244)*('Σύνοψη'!$C$2:$C289=G$3)*('Σύνοψη'!$G$2:$G289=$B244))&gt;0,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'Σύνοψη'!$C$2:$C289=G$3)), IF(SUMPRODUCT(('Σύνοψη'!$F$2:$F289=$A244)*('Σύνοψη'!$C$2:$C289=G$3)*('Σύνοψη'!$G$2:$G289&lt;$B244)*('Σύνοψη'!$H$2:$H289&gt;$B244))&gt;0, CHAR(34), """") ), """")"),"")</f>
        <v/>
      </c>
      <c r="H244" s="67" t="str">
        <f ca="1">IFERROR(__xludf.DUMMYFUNCTION("IFERROR(IF(SUMPRODUCT(('Σύνοψη'!$F$2:$F289=$A244)*('Σύνοψη'!$C$2:$C289=H$3)*('Σύνοψη'!$G$2:$G289=$B244))&gt;0, TEXTJOIN(CHAR(10) &amp; ""-----------------------"" &amp; CHAR(10), TRUE, FILTER('Σύνοψη'!$E$2:$E289 &amp; "" - "" &amp; 'Σύνοψη'!$I$2:$I289 &amp; "" ("" &amp; 'Σύνοψη'!$J"&amp;"$2:$J289 &amp; "")"", 'Σύνοψη'!$F$2:$F289=$A244, 'Σύνοψη'!$G$2:$G289=$B244, 'Σύνοψη'!$C$2:$C289=H$3)), IF(SUMPRODUCT(('Σύνοψη'!$F$2:$F289=$A244)*('Σύνοψη'!$C$2:$C289=H$3)*('Σύνοψη'!$G$2:$G289&lt;$B244)*('Σύνοψη'!$H$2:$H289&gt;$B244))&gt;0, CHAR(34), """") ), """")"),"")</f>
        <v/>
      </c>
      <c r="I244" s="3"/>
    </row>
    <row r="245" spans="1:9" x14ac:dyDescent="0.25">
      <c r="A245" s="95">
        <f t="shared" si="16"/>
        <v>46287</v>
      </c>
      <c r="B245" s="89">
        <v>0.79166666666666663</v>
      </c>
      <c r="C245" s="67" t="str">
        <f ca="1">IFERROR(__xludf.DUMMYFUNCTION("IFERROR(IF(SUMPRODUCT(('Σύνοψη'!$F$2:$F289=$A245)*('Σύνοψη'!$C$2:$C289=C$3)*('Σύνοψη'!$G$2:$G289=$B245))&gt;0,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'Σύνοψη'!$C$2:$C289=C$3)), IF(SUMPRODUCT(('Σύνοψη'!$F$2:$F289=$A245)*('Σύνοψη'!$C$2:$C289=C$3)*('Σύνοψη'!$G$2:$G289&lt;$B245)*('Σύνοψη'!$H$2:$H289&gt;$B245))&gt;0, CHAR(34), """") ), """")"),"")</f>
        <v/>
      </c>
      <c r="D245" s="67" t="str">
        <f ca="1">IFERROR(__xludf.DUMMYFUNCTION("IFERROR(IF(SUMPRODUCT(('Σύνοψη'!$F$2:$F289=$A245)*('Σύνοψη'!$C$2:$C289=D$3)*('Σύνοψη'!$G$2:$G289=$B245))&gt;0,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'Σύνοψη'!$C$2:$C289=D$3)), IF(SUMPRODUCT(('Σύνοψη'!$F$2:$F289=$A245)*('Σύνοψη'!$C$2:$C289=D$3)*('Σύνοψη'!$G$2:$G289&lt;$B245)*('Σύνοψη'!$H$2:$H289&gt;$B245))&gt;0, CHAR(34), """") ), """")"),"")</f>
        <v/>
      </c>
      <c r="E245" s="67" t="str">
        <f ca="1">IFERROR(__xludf.DUMMYFUNCTION("IFERROR(IF(SUMPRODUCT(('Σύνοψη'!$F$2:$F289=$A245)*('Σύνοψη'!$C$2:$C289=E$3)*('Σύνοψη'!$G$2:$G289=$B245))&gt;0,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'Σύνοψη'!$C$2:$C289=E$3)), IF(SUMPRODUCT(('Σύνοψη'!$F$2:$F289=$A245)*('Σύνοψη'!$C$2:$C289=E$3)*('Σύνοψη'!$G$2:$G289&lt;$B245)*('Σύνοψη'!$H$2:$H289&gt;$B245))&gt;0, CHAR(34), """") ), """")"),"")</f>
        <v/>
      </c>
      <c r="F245" s="67" t="str">
        <f ca="1">IFERROR(__xludf.DUMMYFUNCTION("IFERROR(IF(SUMPRODUCT(('Σύνοψη'!$F$2:$F289=$A245)*('Σύνοψη'!$C$2:$C289=F$3)*('Σύνοψη'!$G$2:$G289=$B245))&gt;0,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'Σύνοψη'!$C$2:$C289=F$3)), IF(SUMPRODUCT(('Σύνοψη'!$F$2:$F289=$A245)*('Σύνοψη'!$C$2:$C289=F$3)*('Σύνοψη'!$G$2:$G289&lt;$B245)*('Σύνοψη'!$H$2:$H289&gt;$B245))&gt;0, CHAR(34), """") ), """")"),"")</f>
        <v/>
      </c>
      <c r="G245" s="67" t="str">
        <f ca="1">IFERROR(__xludf.DUMMYFUNCTION("IFERROR(IF(SUMPRODUCT(('Σύνοψη'!$F$2:$F289=$A245)*('Σύνοψη'!$C$2:$C289=G$3)*('Σύνοψη'!$G$2:$G289=$B245))&gt;0,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'Σύνοψη'!$C$2:$C289=G$3)), IF(SUMPRODUCT(('Σύνοψη'!$F$2:$F289=$A245)*('Σύνοψη'!$C$2:$C289=G$3)*('Σύνοψη'!$G$2:$G289&lt;$B245)*('Σύνοψη'!$H$2:$H289&gt;$B245))&gt;0, CHAR(34), """") ), """")"),"")</f>
        <v/>
      </c>
      <c r="H245" s="67" t="str">
        <f ca="1">IFERROR(__xludf.DUMMYFUNCTION("IFERROR(IF(SUMPRODUCT(('Σύνοψη'!$F$2:$F289=$A245)*('Σύνοψη'!$C$2:$C289=H$3)*('Σύνοψη'!$G$2:$G289=$B245))&gt;0, TEXTJOIN(CHAR(10) &amp; ""-----------------------"" &amp; CHAR(10), TRUE, FILTER('Σύνοψη'!$E$2:$E289 &amp; "" - "" &amp; 'Σύνοψη'!$I$2:$I289 &amp; "" ("" &amp; 'Σύνοψη'!$J"&amp;"$2:$J289 &amp; "")"", 'Σύνοψη'!$F$2:$F289=$A245, 'Σύνοψη'!$G$2:$G289=$B245, 'Σύνοψη'!$C$2:$C289=H$3)), IF(SUMPRODUCT(('Σύνοψη'!$F$2:$F289=$A245)*('Σύνοψη'!$C$2:$C289=H$3)*('Σύνοψη'!$G$2:$G289&lt;$B245)*('Σύνοψη'!$H$2:$H289&gt;$B245))&gt;0, CHAR(34), """") ), """")"),"")</f>
        <v/>
      </c>
      <c r="I245" s="3"/>
    </row>
    <row r="246" spans="1:9" x14ac:dyDescent="0.25">
      <c r="A246" s="95">
        <f t="shared" si="16"/>
        <v>46287</v>
      </c>
      <c r="B246" s="89">
        <v>0.83333333333333337</v>
      </c>
      <c r="C246" s="67" t="str">
        <f ca="1">IFERROR(__xludf.DUMMYFUNCTION("IFERROR(IF(SUMPRODUCT(('Σύνοψη'!$F$2:$F289=$A246)*('Σύνοψη'!$C$2:$C289=C$3)*('Σύνοψη'!$G$2:$G289=$B246))&gt;0,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'Σύνοψη'!$C$2:$C289=C$3)), IF(SUMPRODUCT(('Σύνοψη'!$F$2:$F289=$A246)*('Σύνοψη'!$C$2:$C289=C$3)*('Σύνοψη'!$G$2:$G289&lt;$B246)*('Σύνοψη'!$H$2:$H289&gt;$B246))&gt;0, CHAR(34), """") ), """")"),"")</f>
        <v/>
      </c>
      <c r="D246" s="67" t="str">
        <f ca="1">IFERROR(__xludf.DUMMYFUNCTION("IFERROR(IF(SUMPRODUCT(('Σύνοψη'!$F$2:$F289=$A246)*('Σύνοψη'!$C$2:$C289=D$3)*('Σύνοψη'!$G$2:$G289=$B246))&gt;0,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'Σύνοψη'!$C$2:$C289=D$3)), IF(SUMPRODUCT(('Σύνοψη'!$F$2:$F289=$A246)*('Σύνοψη'!$C$2:$C289=D$3)*('Σύνοψη'!$G$2:$G289&lt;$B246)*('Σύνοψη'!$H$2:$H289&gt;$B246))&gt;0, CHAR(34), """") ), """")"),"")</f>
        <v/>
      </c>
      <c r="E246" s="67" t="str">
        <f ca="1">IFERROR(__xludf.DUMMYFUNCTION("IFERROR(IF(SUMPRODUCT(('Σύνοψη'!$F$2:$F289=$A246)*('Σύνοψη'!$C$2:$C289=E$3)*('Σύνοψη'!$G$2:$G289=$B246))&gt;0,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'Σύνοψη'!$C$2:$C289=E$3)), IF(SUMPRODUCT(('Σύνοψη'!$F$2:$F289=$A246)*('Σύνοψη'!$C$2:$C289=E$3)*('Σύνοψη'!$G$2:$G289&lt;$B246)*('Σύνοψη'!$H$2:$H289&gt;$B246))&gt;0, CHAR(34), """") ), """")"),"")</f>
        <v/>
      </c>
      <c r="F246" s="67" t="str">
        <f ca="1">IFERROR(__xludf.DUMMYFUNCTION("IFERROR(IF(SUMPRODUCT(('Σύνοψη'!$F$2:$F289=$A246)*('Σύνοψη'!$C$2:$C289=F$3)*('Σύνοψη'!$G$2:$G289=$B246))&gt;0,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'Σύνοψη'!$C$2:$C289=F$3)), IF(SUMPRODUCT(('Σύνοψη'!$F$2:$F289=$A246)*('Σύνοψη'!$C$2:$C289=F$3)*('Σύνοψη'!$G$2:$G289&lt;$B246)*('Σύνοψη'!$H$2:$H289&gt;$B246))&gt;0, CHAR(34), """") ), """")"),"")</f>
        <v/>
      </c>
      <c r="G246" s="67" t="str">
        <f ca="1">IFERROR(__xludf.DUMMYFUNCTION("IFERROR(IF(SUMPRODUCT(('Σύνοψη'!$F$2:$F289=$A246)*('Σύνοψη'!$C$2:$C289=G$3)*('Σύνοψη'!$G$2:$G289=$B246))&gt;0,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'Σύνοψη'!$C$2:$C289=G$3)), IF(SUMPRODUCT(('Σύνοψη'!$F$2:$F289=$A246)*('Σύνοψη'!$C$2:$C289=G$3)*('Σύνοψη'!$G$2:$G289&lt;$B246)*('Σύνοψη'!$H$2:$H289&gt;$B246))&gt;0, CHAR(34), """") ), """")"),"")</f>
        <v/>
      </c>
      <c r="H246" s="67" t="str">
        <f ca="1">IFERROR(__xludf.DUMMYFUNCTION("IFERROR(IF(SUMPRODUCT(('Σύνοψη'!$F$2:$F289=$A246)*('Σύνοψη'!$C$2:$C289=H$3)*('Σύνοψη'!$G$2:$G289=$B246))&gt;0, TEXTJOIN(CHAR(10) &amp; ""-----------------------"" &amp; CHAR(10), TRUE, FILTER('Σύνοψη'!$E$2:$E289 &amp; "" - "" &amp; 'Σύνοψη'!$I$2:$I289 &amp; "" ("" &amp; 'Σύνοψη'!$J"&amp;"$2:$J289 &amp; "")"", 'Σύνοψη'!$F$2:$F289=$A246, 'Σύνοψη'!$G$2:$G289=$B246, 'Σύνοψη'!$C$2:$C289=H$3)), IF(SUMPRODUCT(('Σύνοψη'!$F$2:$F289=$A246)*('Σύνοψη'!$C$2:$C289=H$3)*('Σύνοψη'!$G$2:$G289&lt;$B246)*('Σύνοψη'!$H$2:$H289&gt;$B246))&gt;0, CHAR(34), """") ), """")"),"")</f>
        <v/>
      </c>
      <c r="I246" s="3"/>
    </row>
    <row r="247" spans="1:9" x14ac:dyDescent="0.25">
      <c r="A247" s="96">
        <f t="shared" si="16"/>
        <v>46287</v>
      </c>
      <c r="B247" s="97">
        <v>0.875</v>
      </c>
      <c r="C247" s="67" t="str">
        <f ca="1">IFERROR(__xludf.DUMMYFUNCTION("IFERROR(IF(SUMPRODUCT(('Σύνοψη'!$F$2:$F289=$A247)*('Σύνοψη'!$C$2:$C289=C$3)*('Σύνοψη'!$G$2:$G289=$B247))&gt;0,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'Σύνοψη'!$C$2:$C289=C$3)), IF(SUMPRODUCT(('Σύνοψη'!$F$2:$F289=$A247)*('Σύνοψη'!$C$2:$C289=C$3)*('Σύνοψη'!$G$2:$G289&lt;$B247)*('Σύνοψη'!$H$2:$H289&gt;$B247))&gt;0, CHAR(34), """") ), """")"),"")</f>
        <v/>
      </c>
      <c r="D247" s="67" t="str">
        <f ca="1">IFERROR(__xludf.DUMMYFUNCTION("IFERROR(IF(SUMPRODUCT(('Σύνοψη'!$F$2:$F289=$A247)*('Σύνοψη'!$C$2:$C289=D$3)*('Σύνοψη'!$G$2:$G289=$B247))&gt;0,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'Σύνοψη'!$C$2:$C289=D$3)), IF(SUMPRODUCT(('Σύνοψη'!$F$2:$F289=$A247)*('Σύνοψη'!$C$2:$C289=D$3)*('Σύνοψη'!$G$2:$G289&lt;$B247)*('Σύνοψη'!$H$2:$H289&gt;$B247))&gt;0, CHAR(34), """") ), """")"),"")</f>
        <v/>
      </c>
      <c r="E247" s="67" t="str">
        <f ca="1">IFERROR(__xludf.DUMMYFUNCTION("IFERROR(IF(SUMPRODUCT(('Σύνοψη'!$F$2:$F289=$A247)*('Σύνοψη'!$C$2:$C289=E$3)*('Σύνοψη'!$G$2:$G289=$B247))&gt;0,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'Σύνοψη'!$C$2:$C289=E$3)), IF(SUMPRODUCT(('Σύνοψη'!$F$2:$F289=$A247)*('Σύνοψη'!$C$2:$C289=E$3)*('Σύνοψη'!$G$2:$G289&lt;$B247)*('Σύνοψη'!$H$2:$H289&gt;$B247))&gt;0, CHAR(34), """") ), """")"),"")</f>
        <v/>
      </c>
      <c r="F247" s="67" t="str">
        <f ca="1">IFERROR(__xludf.DUMMYFUNCTION("IFERROR(IF(SUMPRODUCT(('Σύνοψη'!$F$2:$F289=$A247)*('Σύνοψη'!$C$2:$C289=F$3)*('Σύνοψη'!$G$2:$G289=$B247))&gt;0,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'Σύνοψη'!$C$2:$C289=F$3)), IF(SUMPRODUCT(('Σύνοψη'!$F$2:$F289=$A247)*('Σύνοψη'!$C$2:$C289=F$3)*('Σύνοψη'!$G$2:$G289&lt;$B247)*('Σύνοψη'!$H$2:$H289&gt;$B247))&gt;0, CHAR(34), """") ), """")"),"")</f>
        <v/>
      </c>
      <c r="G247" s="67" t="str">
        <f ca="1">IFERROR(__xludf.DUMMYFUNCTION("IFERROR(IF(SUMPRODUCT(('Σύνοψη'!$F$2:$F289=$A247)*('Σύνοψη'!$C$2:$C289=G$3)*('Σύνοψη'!$G$2:$G289=$B247))&gt;0,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'Σύνοψη'!$C$2:$C289=G$3)), IF(SUMPRODUCT(('Σύνοψη'!$F$2:$F289=$A247)*('Σύνοψη'!$C$2:$C289=G$3)*('Σύνοψη'!$G$2:$G289&lt;$B247)*('Σύνοψη'!$H$2:$H289&gt;$B247))&gt;0, CHAR(34), """") ), """")"),"")</f>
        <v/>
      </c>
      <c r="H247" s="67" t="str">
        <f ca="1">IFERROR(__xludf.DUMMYFUNCTION("IFERROR(IF(SUMPRODUCT(('Σύνοψη'!$F$2:$F289=$A247)*('Σύνοψη'!$C$2:$C289=H$3)*('Σύνοψη'!$G$2:$G289=$B247))&gt;0, TEXTJOIN(CHAR(10) &amp; ""-----------------------"" &amp; CHAR(10), TRUE, FILTER('Σύνοψη'!$E$2:$E289 &amp; "" - "" &amp; 'Σύνοψη'!$I$2:$I289 &amp; "" ("" &amp; 'Σύνοψη'!$J"&amp;"$2:$J289 &amp; "")"", 'Σύνοψη'!$F$2:$F289=$A247, 'Σύνοψη'!$G$2:$G289=$B247, 'Σύνοψη'!$C$2:$C289=H$3)), IF(SUMPRODUCT(('Σύνοψη'!$F$2:$F289=$A247)*('Σύνοψη'!$C$2:$C289=H$3)*('Σύνοψη'!$G$2:$G289&lt;$B247)*('Σύνοψη'!$H$2:$H289&gt;$B247))&gt;0, CHAR(34), """") ), """")"),"")</f>
        <v/>
      </c>
      <c r="I247" s="3"/>
    </row>
    <row r="248" spans="1:9" x14ac:dyDescent="0.25">
      <c r="A248" s="92">
        <f>$D$1+23</f>
        <v>46288</v>
      </c>
      <c r="B248" s="89">
        <v>0.33333333333333331</v>
      </c>
      <c r="C248" s="66" t="str">
        <f ca="1">IFERROR(__xludf.DUMMYFUNCTION("IFERROR(IF(SUMPRODUCT(('Σύνοψη'!$F$2:$F289=$A248)*('Σύνοψη'!$C$2:$C289=C$3)*('Σύνοψη'!$G$2:$G289=$B248))&gt;0,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'Σύνοψη'!$C$2:$C289=C$3)), IF(SUMPRODUCT(('Σύνοψη'!$F$2:$F289=$A248)*('Σύνοψη'!$C$2:$C289=C$3)*('Σύνοψη'!$G$2:$G289&lt;$B248)*('Σύνοψη'!$H$2:$H289&gt;$B248))&gt;0, CHAR(34), """") ), """")"),"")</f>
        <v/>
      </c>
      <c r="D248" s="66" t="str">
        <f ca="1">IFERROR(__xludf.DUMMYFUNCTION("IFERROR(IF(SUMPRODUCT(('Σύνοψη'!$F$2:$F289=$A248)*('Σύνοψη'!$C$2:$C289=D$3)*('Σύνοψη'!$G$2:$G289=$B248))&gt;0,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'Σύνοψη'!$C$2:$C289=D$3)), IF(SUMPRODUCT(('Σύνοψη'!$F$2:$F289=$A248)*('Σύνοψη'!$C$2:$C289=D$3)*('Σύνοψη'!$G$2:$G289&lt;$B248)*('Σύνοψη'!$H$2:$H289&gt;$B248))&gt;0, CHAR(34), """") ), """")"),"")</f>
        <v/>
      </c>
      <c r="E248" s="66" t="str">
        <f ca="1">IFERROR(__xludf.DUMMYFUNCTION("IFERROR(IF(SUMPRODUCT(('Σύνοψη'!$F$2:$F289=$A248)*('Σύνοψη'!$C$2:$C289=E$3)*('Σύνοψη'!$G$2:$G289=$B248))&gt;0,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'Σύνοψη'!$C$2:$C289=E$3)), IF(SUMPRODUCT(('Σύνοψη'!$F$2:$F289=$A248)*('Σύνοψη'!$C$2:$C289=E$3)*('Σύνοψη'!$G$2:$G289&lt;$B248)*('Σύνοψη'!$H$2:$H289&gt;$B248))&gt;0, CHAR(34), """") ), """")"),"")</f>
        <v/>
      </c>
      <c r="F248" s="66" t="str">
        <f ca="1">IFERROR(__xludf.DUMMYFUNCTION("IFERROR(IF(SUMPRODUCT(('Σύνοψη'!$F$2:$F289=$A248)*('Σύνοψη'!$C$2:$C289=F$3)*('Σύνοψη'!$G$2:$G289=$B248))&gt;0,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'Σύνοψη'!$C$2:$C289=F$3)), IF(SUMPRODUCT(('Σύνοψη'!$F$2:$F289=$A248)*('Σύνοψη'!$C$2:$C289=F$3)*('Σύνοψη'!$G$2:$G289&lt;$B248)*('Σύνοψη'!$H$2:$H289&gt;$B248))&gt;0, CHAR(34), """") ), """")"),"")</f>
        <v/>
      </c>
      <c r="G248" s="66" t="str">
        <f ca="1">IFERROR(__xludf.DUMMYFUNCTION("IFERROR(IF(SUMPRODUCT(('Σύνοψη'!$F$2:$F289=$A248)*('Σύνοψη'!$C$2:$C289=G$3)*('Σύνοψη'!$G$2:$G289=$B248))&gt;0,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'Σύνοψη'!$C$2:$C289=G$3)), IF(SUMPRODUCT(('Σύνοψη'!$F$2:$F289=$A248)*('Σύνοψη'!$C$2:$C289=G$3)*('Σύνοψη'!$G$2:$G289&lt;$B248)*('Σύνοψη'!$H$2:$H289&gt;$B248))&gt;0, CHAR(34), """") ), """")"),"")</f>
        <v/>
      </c>
      <c r="H248" s="66" t="str">
        <f ca="1">IFERROR(__xludf.DUMMYFUNCTION("IFERROR(IF(SUMPRODUCT(('Σύνοψη'!$F$2:$F289=$A248)*('Σύνοψη'!$C$2:$C289=H$3)*('Σύνοψη'!$G$2:$G289=$B248))&gt;0, TEXTJOIN(CHAR(10) &amp; ""-----------------------"" &amp; CHAR(10), TRUE, FILTER('Σύνοψη'!$E$2:$E289 &amp; "" - "" &amp; 'Σύνοψη'!$I$2:$I289 &amp; "" ("" &amp; 'Σύνοψη'!$J"&amp;"$2:$J289 &amp; "")"", 'Σύνοψη'!$F$2:$F289=$A248, 'Σύνοψη'!$G$2:$G289=$B248, 'Σύνοψη'!$C$2:$C289=H$3)), IF(SUMPRODUCT(('Σύνοψη'!$F$2:$F289=$A248)*('Σύνοψη'!$C$2:$C289=H$3)*('Σύνοψη'!$G$2:$G289&lt;$B248)*('Σύνοψη'!$H$2:$H289&gt;$B248))&gt;0, CHAR(34), """") ), """")"),"")</f>
        <v/>
      </c>
      <c r="I248" s="3"/>
    </row>
    <row r="249" spans="1:9" x14ac:dyDescent="0.25">
      <c r="A249" s="95">
        <f t="shared" ref="A249:A261" si="17">$A$248</f>
        <v>46288</v>
      </c>
      <c r="B249" s="89">
        <v>0.375</v>
      </c>
      <c r="C249" s="67" t="str">
        <f ca="1">IFERROR(__xludf.DUMMYFUNCTION("IFERROR(IF(SUMPRODUCT(('Σύνοψη'!$F$2:$F289=$A249)*('Σύνοψη'!$C$2:$C289=C$3)*('Σύνοψη'!$G$2:$G289=$B249))&gt;0,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'Σύνοψη'!$C$2:$C289=C$3)), IF(SUMPRODUCT(('Σύνοψη'!$F$2:$F289=$A249)*('Σύνοψη'!$C$2:$C289=C$3)*('Σύνοψη'!$G$2:$G289&lt;$B249)*('Σύνοψη'!$H$2:$H289&gt;$B249))&gt;0, CHAR(34), """") ), """")"),"")</f>
        <v/>
      </c>
      <c r="D249" s="67" t="str">
        <f ca="1">IFERROR(__xludf.DUMMYFUNCTION("IFERROR(IF(SUMPRODUCT(('Σύνοψη'!$F$2:$F289=$A249)*('Σύνοψη'!$C$2:$C289=D$3)*('Σύνοψη'!$G$2:$G289=$B249))&gt;0,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'Σύνοψη'!$C$2:$C289=D$3)), IF(SUMPRODUCT(('Σύνοψη'!$F$2:$F289=$A249)*('Σύνοψη'!$C$2:$C289=D$3)*('Σύνοψη'!$G$2:$G289&lt;$B249)*('Σύνοψη'!$H$2:$H289&gt;$B249))&gt;0, CHAR(34), """") ), """")"),"")</f>
        <v/>
      </c>
      <c r="E249" s="67" t="str">
        <f ca="1">IFERROR(__xludf.DUMMYFUNCTION("IFERROR(IF(SUMPRODUCT(('Σύνοψη'!$F$2:$F289=$A249)*('Σύνοψη'!$C$2:$C289=E$3)*('Σύνοψη'!$G$2:$G289=$B249))&gt;0,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'Σύνοψη'!$C$2:$C289=E$3)), IF(SUMPRODUCT(('Σύνοψη'!$F$2:$F289=$A249)*('Σύνοψη'!$C$2:$C289=E$3)*('Σύνοψη'!$G$2:$G289&lt;$B249)*('Σύνοψη'!$H$2:$H289&gt;$B249))&gt;0, CHAR(34), """") ), """")"),"")</f>
        <v/>
      </c>
      <c r="F249" s="67" t="str">
        <f ca="1">IFERROR(__xludf.DUMMYFUNCTION("IFERROR(IF(SUMPRODUCT(('Σύνοψη'!$F$2:$F289=$A249)*('Σύνοψη'!$C$2:$C289=F$3)*('Σύνοψη'!$G$2:$G289=$B249))&gt;0,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'Σύνοψη'!$C$2:$C289=F$3)), IF(SUMPRODUCT(('Σύνοψη'!$F$2:$F289=$A249)*('Σύνοψη'!$C$2:$C289=F$3)*('Σύνοψη'!$G$2:$G289&lt;$B249)*('Σύνοψη'!$H$2:$H289&gt;$B249))&gt;0, CHAR(34), """") ), """")"),"")</f>
        <v/>
      </c>
      <c r="G249" s="67" t="str">
        <f ca="1">IFERROR(__xludf.DUMMYFUNCTION("IFERROR(IF(SUMPRODUCT(('Σύνοψη'!$F$2:$F289=$A249)*('Σύνοψη'!$C$2:$C289=G$3)*('Σύνοψη'!$G$2:$G289=$B249))&gt;0,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'Σύνοψη'!$C$2:$C289=G$3)), IF(SUMPRODUCT(('Σύνοψη'!$F$2:$F289=$A249)*('Σύνοψη'!$C$2:$C289=G$3)*('Σύνοψη'!$G$2:$G289&lt;$B249)*('Σύνοψη'!$H$2:$H289&gt;$B249))&gt;0, CHAR(34), """") ), """")"),"")</f>
        <v/>
      </c>
      <c r="H249" s="67" t="str">
        <f ca="1">IFERROR(__xludf.DUMMYFUNCTION("IFERROR(IF(SUMPRODUCT(('Σύνοψη'!$F$2:$F289=$A249)*('Σύνοψη'!$C$2:$C289=H$3)*('Σύνοψη'!$G$2:$G289=$B249))&gt;0, TEXTJOIN(CHAR(10) &amp; ""-----------------------"" &amp; CHAR(10), TRUE, FILTER('Σύνοψη'!$E$2:$E289 &amp; "" - "" &amp; 'Σύνοψη'!$I$2:$I289 &amp; "" ("" &amp; 'Σύνοψη'!$J"&amp;"$2:$J289 &amp; "")"", 'Σύνοψη'!$F$2:$F289=$A249, 'Σύνοψη'!$G$2:$G289=$B249, 'Σύνοψη'!$C$2:$C289=H$3)), IF(SUMPRODUCT(('Σύνοψη'!$F$2:$F289=$A249)*('Σύνοψη'!$C$2:$C289=H$3)*('Σύνοψη'!$G$2:$G289&lt;$B249)*('Σύνοψη'!$H$2:$H289&gt;$B249))&gt;0, CHAR(34), """") ), """")"),"")</f>
        <v/>
      </c>
      <c r="I249" s="3"/>
    </row>
    <row r="250" spans="1:9" x14ac:dyDescent="0.25">
      <c r="A250" s="95">
        <f t="shared" si="17"/>
        <v>46288</v>
      </c>
      <c r="B250" s="89">
        <v>0.41666666666666669</v>
      </c>
      <c r="C250" s="67" t="str">
        <f ca="1">IFERROR(__xludf.DUMMYFUNCTION("IFERROR(IF(SUMPRODUCT(('Σύνοψη'!$F$2:$F289=$A250)*('Σύνοψη'!$C$2:$C289=C$3)*('Σύνοψη'!$G$2:$G289=$B250))&gt;0,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'Σύνοψη'!$C$2:$C289=C$3)), IF(SUMPRODUCT(('Σύνοψη'!$F$2:$F289=$A250)*('Σύνοψη'!$C$2:$C289=C$3)*('Σύνοψη'!$G$2:$G289&lt;$B250)*('Σύνοψη'!$H$2:$H289&gt;$B250))&gt;0, CHAR(34), """") ), """")"),"")</f>
        <v/>
      </c>
      <c r="D250" s="67" t="str">
        <f ca="1">IFERROR(__xludf.DUMMYFUNCTION("IFERROR(IF(SUMPRODUCT(('Σύνοψη'!$F$2:$F289=$A250)*('Σύνοψη'!$C$2:$C289=D$3)*('Σύνοψη'!$G$2:$G289=$B250))&gt;0,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'Σύνοψη'!$C$2:$C289=D$3)), IF(SUMPRODUCT(('Σύνοψη'!$F$2:$F289=$A250)*('Σύνοψη'!$C$2:$C289=D$3)*('Σύνοψη'!$G$2:$G289&lt;$B250)*('Σύνοψη'!$H$2:$H289&gt;$B250))&gt;0, CHAR(34), """") ), """")"),"")</f>
        <v/>
      </c>
      <c r="E250" s="67" t="str">
        <f ca="1">IFERROR(__xludf.DUMMYFUNCTION("IFERROR(IF(SUMPRODUCT(('Σύνοψη'!$F$2:$F289=$A250)*('Σύνοψη'!$C$2:$C289=E$3)*('Σύνοψη'!$G$2:$G289=$B250))&gt;0,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'Σύνοψη'!$C$2:$C289=E$3)), IF(SUMPRODUCT(('Σύνοψη'!$F$2:$F289=$A250)*('Σύνοψη'!$C$2:$C289=E$3)*('Σύνοψη'!$G$2:$G289&lt;$B250)*('Σύνοψη'!$H$2:$H289&gt;$B250))&gt;0, CHAR(34), """") ), """")"),"")</f>
        <v/>
      </c>
      <c r="F250" s="67" t="str">
        <f ca="1">IFERROR(__xludf.DUMMYFUNCTION("IFERROR(IF(SUMPRODUCT(('Σύνοψη'!$F$2:$F289=$A250)*('Σύνοψη'!$C$2:$C289=F$3)*('Σύνοψη'!$G$2:$G289=$B250))&gt;0,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'Σύνοψη'!$C$2:$C289=F$3)), IF(SUMPRODUCT(('Σύνοψη'!$F$2:$F289=$A250)*('Σύνοψη'!$C$2:$C289=F$3)*('Σύνοψη'!$G$2:$G289&lt;$B250)*('Σύνοψη'!$H$2:$H289&gt;$B250))&gt;0, CHAR(34), """") ), """")"),"")</f>
        <v/>
      </c>
      <c r="G250" s="67" t="str">
        <f ca="1">IFERROR(__xludf.DUMMYFUNCTION("IFERROR(IF(SUMPRODUCT(('Σύνοψη'!$F$2:$F289=$A250)*('Σύνοψη'!$C$2:$C289=G$3)*('Σύνοψη'!$G$2:$G289=$B250))&gt;0,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'Σύνοψη'!$C$2:$C289=G$3)), IF(SUMPRODUCT(('Σύνοψη'!$F$2:$F289=$A250)*('Σύνοψη'!$C$2:$C289=G$3)*('Σύνοψη'!$G$2:$G289&lt;$B250)*('Σύνοψη'!$H$2:$H289&gt;$B250))&gt;0, CHAR(34), """") ), """")"),"")</f>
        <v/>
      </c>
      <c r="H250" s="67" t="str">
        <f ca="1">IFERROR(__xludf.DUMMYFUNCTION("IFERROR(IF(SUMPRODUCT(('Σύνοψη'!$F$2:$F289=$A250)*('Σύνοψη'!$C$2:$C289=H$3)*('Σύνοψη'!$G$2:$G289=$B250))&gt;0, TEXTJOIN(CHAR(10) &amp; ""-----------------------"" &amp; CHAR(10), TRUE, FILTER('Σύνοψη'!$E$2:$E289 &amp; "" - "" &amp; 'Σύνοψη'!$I$2:$I289 &amp; "" ("" &amp; 'Σύνοψη'!$J"&amp;"$2:$J289 &amp; "")"", 'Σύνοψη'!$F$2:$F289=$A250, 'Σύνοψη'!$G$2:$G289=$B250, 'Σύνοψη'!$C$2:$C289=H$3)), IF(SUMPRODUCT(('Σύνοψη'!$F$2:$F289=$A250)*('Σύνοψη'!$C$2:$C289=H$3)*('Σύνοψη'!$G$2:$G289&lt;$B250)*('Σύνοψη'!$H$2:$H289&gt;$B250))&gt;0, CHAR(34), """") ), """")"),"")</f>
        <v/>
      </c>
      <c r="I250" s="3"/>
    </row>
    <row r="251" spans="1:9" x14ac:dyDescent="0.25">
      <c r="A251" s="95">
        <f t="shared" si="17"/>
        <v>46288</v>
      </c>
      <c r="B251" s="89">
        <v>0.45833333333333331</v>
      </c>
      <c r="C251" s="67" t="str">
        <f ca="1">IFERROR(__xludf.DUMMYFUNCTION("IFERROR(IF(SUMPRODUCT(('Σύνοψη'!$F$2:$F289=$A251)*('Σύνοψη'!$C$2:$C289=C$3)*('Σύνοψη'!$G$2:$G289=$B251))&gt;0,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'Σύνοψη'!$C$2:$C289=C$3)), IF(SUMPRODUCT(('Σύνοψη'!$F$2:$F289=$A251)*('Σύνοψη'!$C$2:$C289=C$3)*('Σύνοψη'!$G$2:$G289&lt;$B251)*('Σύνοψη'!$H$2:$H289&gt;$B251))&gt;0, CHAR(34), """") ), """")"),"")</f>
        <v/>
      </c>
      <c r="D251" s="67" t="str">
        <f ca="1">IFERROR(__xludf.DUMMYFUNCTION("IFERROR(IF(SUMPRODUCT(('Σύνοψη'!$F$2:$F289=$A251)*('Σύνοψη'!$C$2:$C289=D$3)*('Σύνοψη'!$G$2:$G289=$B251))&gt;0,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'Σύνοψη'!$C$2:$C289=D$3)), IF(SUMPRODUCT(('Σύνοψη'!$F$2:$F289=$A251)*('Σύνοψη'!$C$2:$C289=D$3)*('Σύνοψη'!$G$2:$G289&lt;$B251)*('Σύνοψη'!$H$2:$H289&gt;$B251))&gt;0, CHAR(34), """") ), """")"),"")</f>
        <v/>
      </c>
      <c r="E251" s="67" t="str">
        <f ca="1">IFERROR(__xludf.DUMMYFUNCTION("IFERROR(IF(SUMPRODUCT(('Σύνοψη'!$F$2:$F289=$A251)*('Σύνοψη'!$C$2:$C289=E$3)*('Σύνοψη'!$G$2:$G289=$B251))&gt;0,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'Σύνοψη'!$C$2:$C289=E$3)), IF(SUMPRODUCT(('Σύνοψη'!$F$2:$F289=$A251)*('Σύνοψη'!$C$2:$C289=E$3)*('Σύνοψη'!$G$2:$G289&lt;$B251)*('Σύνοψη'!$H$2:$H289&gt;$B251))&gt;0, CHAR(34), """") ), """")"),"")</f>
        <v/>
      </c>
      <c r="F251" s="67" t="str">
        <f ca="1">IFERROR(__xludf.DUMMYFUNCTION("IFERROR(IF(SUMPRODUCT(('Σύνοψη'!$F$2:$F289=$A251)*('Σύνοψη'!$C$2:$C289=F$3)*('Σύνοψη'!$G$2:$G289=$B251))&gt;0,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'Σύνοψη'!$C$2:$C289=F$3)), IF(SUMPRODUCT(('Σύνοψη'!$F$2:$F289=$A251)*('Σύνοψη'!$C$2:$C289=F$3)*('Σύνοψη'!$G$2:$G289&lt;$B251)*('Σύνοψη'!$H$2:$H289&gt;$B251))&gt;0, CHAR(34), """") ), """")"),"")</f>
        <v/>
      </c>
      <c r="G251" s="67" t="str">
        <f ca="1">IFERROR(__xludf.DUMMYFUNCTION("IFERROR(IF(SUMPRODUCT(('Σύνοψη'!$F$2:$F289=$A251)*('Σύνοψη'!$C$2:$C289=G$3)*('Σύνοψη'!$G$2:$G289=$B251))&gt;0,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'Σύνοψη'!$C$2:$C289=G$3)), IF(SUMPRODUCT(('Σύνοψη'!$F$2:$F289=$A251)*('Σύνοψη'!$C$2:$C289=G$3)*('Σύνοψη'!$G$2:$G289&lt;$B251)*('Σύνοψη'!$H$2:$H289&gt;$B251))&gt;0, CHAR(34), """") ), """")"),"")</f>
        <v/>
      </c>
      <c r="H251" s="67" t="str">
        <f ca="1">IFERROR(__xludf.DUMMYFUNCTION("IFERROR(IF(SUMPRODUCT(('Σύνοψη'!$F$2:$F289=$A251)*('Σύνοψη'!$C$2:$C289=H$3)*('Σύνοψη'!$G$2:$G289=$B251))&gt;0, TEXTJOIN(CHAR(10) &amp; ""-----------------------"" &amp; CHAR(10), TRUE, FILTER('Σύνοψη'!$E$2:$E289 &amp; "" - "" &amp; 'Σύνοψη'!$I$2:$I289 &amp; "" ("" &amp; 'Σύνοψη'!$J"&amp;"$2:$J289 &amp; "")"", 'Σύνοψη'!$F$2:$F289=$A251, 'Σύνοψη'!$G$2:$G289=$B251, 'Σύνοψη'!$C$2:$C289=H$3)), IF(SUMPRODUCT(('Σύνοψη'!$F$2:$F289=$A251)*('Σύνοψη'!$C$2:$C289=H$3)*('Σύνοψη'!$G$2:$G289&lt;$B251)*('Σύνοψη'!$H$2:$H289&gt;$B251))&gt;0, CHAR(34), """") ), """")"),"")</f>
        <v/>
      </c>
      <c r="I251" s="3"/>
    </row>
    <row r="252" spans="1:9" x14ac:dyDescent="0.25">
      <c r="A252" s="95">
        <f t="shared" si="17"/>
        <v>46288</v>
      </c>
      <c r="B252" s="89">
        <v>0.5</v>
      </c>
      <c r="C252" s="67" t="str">
        <f ca="1">IFERROR(__xludf.DUMMYFUNCTION("IFERROR(IF(SUMPRODUCT(('Σύνοψη'!$F$2:$F289=$A252)*('Σύνοψη'!$C$2:$C289=C$3)*('Σύνοψη'!$G$2:$G289=$B252))&gt;0,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'Σύνοψη'!$C$2:$C289=C$3)), IF(SUMPRODUCT(('Σύνοψη'!$F$2:$F289=$A252)*('Σύνοψη'!$C$2:$C289=C$3)*('Σύνοψη'!$G$2:$G289&lt;$B252)*('Σύνοψη'!$H$2:$H289&gt;$B252))&gt;0, CHAR(34), """") ), """")"),"")</f>
        <v/>
      </c>
      <c r="D252" s="67" t="str">
        <f ca="1">IFERROR(__xludf.DUMMYFUNCTION("IFERROR(IF(SUMPRODUCT(('Σύνοψη'!$F$2:$F289=$A252)*('Σύνοψη'!$C$2:$C289=D$3)*('Σύνοψη'!$G$2:$G289=$B252))&gt;0,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'Σύνοψη'!$C$2:$C289=D$3)), IF(SUMPRODUCT(('Σύνοψη'!$F$2:$F289=$A252)*('Σύνοψη'!$C$2:$C289=D$3)*('Σύνοψη'!$G$2:$G289&lt;$B252)*('Σύνοψη'!$H$2:$H289&gt;$B252))&gt;0, CHAR(34), """") ), """")"),"")</f>
        <v/>
      </c>
      <c r="E252" s="67" t="str">
        <f ca="1">IFERROR(__xludf.DUMMYFUNCTION("IFERROR(IF(SUMPRODUCT(('Σύνοψη'!$F$2:$F289=$A252)*('Σύνοψη'!$C$2:$C289=E$3)*('Σύνοψη'!$G$2:$G289=$B252))&gt;0,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'Σύνοψη'!$C$2:$C289=E$3)), IF(SUMPRODUCT(('Σύνοψη'!$F$2:$F289=$A252)*('Σύνοψη'!$C$2:$C289=E$3)*('Σύνοψη'!$G$2:$G289&lt;$B252)*('Σύνοψη'!$H$2:$H289&gt;$B252))&gt;0, CHAR(34), """") ), """")"),"")</f>
        <v/>
      </c>
      <c r="F252" s="67" t="str">
        <f ca="1">IFERROR(__xludf.DUMMYFUNCTION("IFERROR(IF(SUMPRODUCT(('Σύνοψη'!$F$2:$F289=$A252)*('Σύνοψη'!$C$2:$C289=F$3)*('Σύνοψη'!$G$2:$G289=$B252))&gt;0,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'Σύνοψη'!$C$2:$C289=F$3)), IF(SUMPRODUCT(('Σύνοψη'!$F$2:$F289=$A252)*('Σύνοψη'!$C$2:$C289=F$3)*('Σύνοψη'!$G$2:$G289&lt;$B252)*('Σύνοψη'!$H$2:$H289&gt;$B252))&gt;0, CHAR(34), """") ), """")"),"")</f>
        <v/>
      </c>
      <c r="G252" s="67" t="str">
        <f ca="1">IFERROR(__xludf.DUMMYFUNCTION("IFERROR(IF(SUMPRODUCT(('Σύνοψη'!$F$2:$F289=$A252)*('Σύνοψη'!$C$2:$C289=G$3)*('Σύνοψη'!$G$2:$G289=$B252))&gt;0,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'Σύνοψη'!$C$2:$C289=G$3)), IF(SUMPRODUCT(('Σύνοψη'!$F$2:$F289=$A252)*('Σύνοψη'!$C$2:$C289=G$3)*('Σύνοψη'!$G$2:$G289&lt;$B252)*('Σύνοψη'!$H$2:$H289&gt;$B252))&gt;0, CHAR(34), """") ), """")"),"")</f>
        <v/>
      </c>
      <c r="H252" s="67" t="str">
        <f ca="1">IFERROR(__xludf.DUMMYFUNCTION("IFERROR(IF(SUMPRODUCT(('Σύνοψη'!$F$2:$F289=$A252)*('Σύνοψη'!$C$2:$C289=H$3)*('Σύνοψη'!$G$2:$G289=$B252))&gt;0, TEXTJOIN(CHAR(10) &amp; ""-----------------------"" &amp; CHAR(10), TRUE, FILTER('Σύνοψη'!$E$2:$E289 &amp; "" - "" &amp; 'Σύνοψη'!$I$2:$I289 &amp; "" ("" &amp; 'Σύνοψη'!$J"&amp;"$2:$J289 &amp; "")"", 'Σύνοψη'!$F$2:$F289=$A252, 'Σύνοψη'!$G$2:$G289=$B252, 'Σύνοψη'!$C$2:$C289=H$3)), IF(SUMPRODUCT(('Σύνοψη'!$F$2:$F289=$A252)*('Σύνοψη'!$C$2:$C289=H$3)*('Σύνοψη'!$G$2:$G289&lt;$B252)*('Σύνοψη'!$H$2:$H289&gt;$B252))&gt;0, CHAR(34), """") ), """")"),"")</f>
        <v/>
      </c>
      <c r="I252" s="3"/>
    </row>
    <row r="253" spans="1:9" x14ac:dyDescent="0.25">
      <c r="A253" s="95">
        <f t="shared" si="17"/>
        <v>46288</v>
      </c>
      <c r="B253" s="89">
        <v>0.54166666666666663</v>
      </c>
      <c r="C253" s="67" t="str">
        <f ca="1">IFERROR(__xludf.DUMMYFUNCTION("IFERROR(IF(SUMPRODUCT(('Σύνοψη'!$F$2:$F289=$A253)*('Σύνοψη'!$C$2:$C289=C$3)*('Σύνοψη'!$G$2:$G289=$B253))&gt;0,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'Σύνοψη'!$C$2:$C289=C$3)), IF(SUMPRODUCT(('Σύνοψη'!$F$2:$F289=$A253)*('Σύνοψη'!$C$2:$C289=C$3)*('Σύνοψη'!$G$2:$G289&lt;$B253)*('Σύνοψη'!$H$2:$H289&gt;$B253))&gt;0, CHAR(34), """") ), """")"),"")</f>
        <v/>
      </c>
      <c r="D253" s="67" t="str">
        <f ca="1">IFERROR(__xludf.DUMMYFUNCTION("IFERROR(IF(SUMPRODUCT(('Σύνοψη'!$F$2:$F289=$A253)*('Σύνοψη'!$C$2:$C289=D$3)*('Σύνοψη'!$G$2:$G289=$B253))&gt;0,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'Σύνοψη'!$C$2:$C289=D$3)), IF(SUMPRODUCT(('Σύνοψη'!$F$2:$F289=$A253)*('Σύνοψη'!$C$2:$C289=D$3)*('Σύνοψη'!$G$2:$G289&lt;$B253)*('Σύνοψη'!$H$2:$H289&gt;$B253))&gt;0, CHAR(34), """") ), """")"),"")</f>
        <v/>
      </c>
      <c r="E253" s="67" t="str">
        <f ca="1">IFERROR(__xludf.DUMMYFUNCTION("IFERROR(IF(SUMPRODUCT(('Σύνοψη'!$F$2:$F289=$A253)*('Σύνοψη'!$C$2:$C289=E$3)*('Σύνοψη'!$G$2:$G289=$B253))&gt;0,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'Σύνοψη'!$C$2:$C289=E$3)), IF(SUMPRODUCT(('Σύνοψη'!$F$2:$F289=$A253)*('Σύνοψη'!$C$2:$C289=E$3)*('Σύνοψη'!$G$2:$G289&lt;$B253)*('Σύνοψη'!$H$2:$H289&gt;$B253))&gt;0, CHAR(34), """") ), """")"),"")</f>
        <v/>
      </c>
      <c r="F253" s="67" t="str">
        <f ca="1">IFERROR(__xludf.DUMMYFUNCTION("IFERROR(IF(SUMPRODUCT(('Σύνοψη'!$F$2:$F289=$A253)*('Σύνοψη'!$C$2:$C289=F$3)*('Σύνοψη'!$G$2:$G289=$B253))&gt;0,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'Σύνοψη'!$C$2:$C289=F$3)), IF(SUMPRODUCT(('Σύνοψη'!$F$2:$F289=$A253)*('Σύνοψη'!$C$2:$C289=F$3)*('Σύνοψη'!$G$2:$G289&lt;$B253)*('Σύνοψη'!$H$2:$H289&gt;$B253))&gt;0, CHAR(34), """") ), """")"),"")</f>
        <v/>
      </c>
      <c r="G253" s="67" t="str">
        <f ca="1">IFERROR(__xludf.DUMMYFUNCTION("IFERROR(IF(SUMPRODUCT(('Σύνοψη'!$F$2:$F289=$A253)*('Σύνοψη'!$C$2:$C289=G$3)*('Σύνοψη'!$G$2:$G289=$B253))&gt;0,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'Σύνοψη'!$C$2:$C289=G$3)), IF(SUMPRODUCT(('Σύνοψη'!$F$2:$F289=$A253)*('Σύνοψη'!$C$2:$C289=G$3)*('Σύνοψη'!$G$2:$G289&lt;$B253)*('Σύνοψη'!$H$2:$H289&gt;$B253))&gt;0, CHAR(34), """") ), """")"),"")</f>
        <v/>
      </c>
      <c r="H253" s="67" t="str">
        <f ca="1">IFERROR(__xludf.DUMMYFUNCTION("IFERROR(IF(SUMPRODUCT(('Σύνοψη'!$F$2:$F289=$A253)*('Σύνοψη'!$C$2:$C289=H$3)*('Σύνοψη'!$G$2:$G289=$B253))&gt;0, TEXTJOIN(CHAR(10) &amp; ""-----------------------"" &amp; CHAR(10), TRUE, FILTER('Σύνοψη'!$E$2:$E289 &amp; "" - "" &amp; 'Σύνοψη'!$I$2:$I289 &amp; "" ("" &amp; 'Σύνοψη'!$J"&amp;"$2:$J289 &amp; "")"", 'Σύνοψη'!$F$2:$F289=$A253, 'Σύνοψη'!$G$2:$G289=$B253, 'Σύνοψη'!$C$2:$C289=H$3)), IF(SUMPRODUCT(('Σύνοψη'!$F$2:$F289=$A253)*('Σύνοψη'!$C$2:$C289=H$3)*('Σύνοψη'!$G$2:$G289&lt;$B253)*('Σύνοψη'!$H$2:$H289&gt;$B253))&gt;0, CHAR(34), """") ), """")"),"")</f>
        <v/>
      </c>
      <c r="I253" s="3"/>
    </row>
    <row r="254" spans="1:9" x14ac:dyDescent="0.25">
      <c r="A254" s="95">
        <f t="shared" si="17"/>
        <v>46288</v>
      </c>
      <c r="B254" s="89">
        <v>0.58333333333333337</v>
      </c>
      <c r="C254" s="67" t="str">
        <f ca="1">IFERROR(__xludf.DUMMYFUNCTION("IFERROR(IF(SUMPRODUCT(('Σύνοψη'!$F$2:$F289=$A254)*('Σύνοψη'!$C$2:$C289=C$3)*('Σύνοψη'!$G$2:$G289=$B254))&gt;0,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'Σύνοψη'!$C$2:$C289=C$3)), IF(SUMPRODUCT(('Σύνοψη'!$F$2:$F289=$A254)*('Σύνοψη'!$C$2:$C289=C$3)*('Σύνοψη'!$G$2:$G289&lt;$B254)*('Σύνοψη'!$H$2:$H289&gt;$B254))&gt;0, CHAR(34), """") ), """")"),"")</f>
        <v/>
      </c>
      <c r="D254" s="67" t="str">
        <f ca="1">IFERROR(__xludf.DUMMYFUNCTION("IFERROR(IF(SUMPRODUCT(('Σύνοψη'!$F$2:$F289=$A254)*('Σύνοψη'!$C$2:$C289=D$3)*('Σύνοψη'!$G$2:$G289=$B254))&gt;0,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'Σύνοψη'!$C$2:$C289=D$3)), IF(SUMPRODUCT(('Σύνοψη'!$F$2:$F289=$A254)*('Σύνοψη'!$C$2:$C289=D$3)*('Σύνοψη'!$G$2:$G289&lt;$B254)*('Σύνοψη'!$H$2:$H289&gt;$B254))&gt;0, CHAR(34), """") ), """")"),"")</f>
        <v/>
      </c>
      <c r="E254" s="67" t="str">
        <f ca="1">IFERROR(__xludf.DUMMYFUNCTION("IFERROR(IF(SUMPRODUCT(('Σύνοψη'!$F$2:$F289=$A254)*('Σύνοψη'!$C$2:$C289=E$3)*('Σύνοψη'!$G$2:$G289=$B254))&gt;0,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'Σύνοψη'!$C$2:$C289=E$3)), IF(SUMPRODUCT(('Σύνοψη'!$F$2:$F289=$A254)*('Σύνοψη'!$C$2:$C289=E$3)*('Σύνοψη'!$G$2:$G289&lt;$B254)*('Σύνοψη'!$H$2:$H289&gt;$B254))&gt;0, CHAR(34), """") ), """")"),"")</f>
        <v/>
      </c>
      <c r="F254" s="67" t="str">
        <f ca="1">IFERROR(__xludf.DUMMYFUNCTION("IFERROR(IF(SUMPRODUCT(('Σύνοψη'!$F$2:$F289=$A254)*('Σύνοψη'!$C$2:$C289=F$3)*('Σύνοψη'!$G$2:$G289=$B254))&gt;0,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'Σύνοψη'!$C$2:$C289=F$3)), IF(SUMPRODUCT(('Σύνοψη'!$F$2:$F289=$A254)*('Σύνοψη'!$C$2:$C289=F$3)*('Σύνοψη'!$G$2:$G289&lt;$B254)*('Σύνοψη'!$H$2:$H289&gt;$B254))&gt;0, CHAR(34), """") ), """")"),"")</f>
        <v/>
      </c>
      <c r="G254" s="67" t="str">
        <f ca="1">IFERROR(__xludf.DUMMYFUNCTION("IFERROR(IF(SUMPRODUCT(('Σύνοψη'!$F$2:$F289=$A254)*('Σύνοψη'!$C$2:$C289=G$3)*('Σύνοψη'!$G$2:$G289=$B254))&gt;0,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'Σύνοψη'!$C$2:$C289=G$3)), IF(SUMPRODUCT(('Σύνοψη'!$F$2:$F289=$A254)*('Σύνοψη'!$C$2:$C289=G$3)*('Σύνοψη'!$G$2:$G289&lt;$B254)*('Σύνοψη'!$H$2:$H289&gt;$B254))&gt;0, CHAR(34), """") ), """")"),"")</f>
        <v/>
      </c>
      <c r="H254" s="67" t="str">
        <f ca="1">IFERROR(__xludf.DUMMYFUNCTION("IFERROR(IF(SUMPRODUCT(('Σύνοψη'!$F$2:$F289=$A254)*('Σύνοψη'!$C$2:$C289=H$3)*('Σύνοψη'!$G$2:$G289=$B254))&gt;0, TEXTJOIN(CHAR(10) &amp; ""-----------------------"" &amp; CHAR(10), TRUE, FILTER('Σύνοψη'!$E$2:$E289 &amp; "" - "" &amp; 'Σύνοψη'!$I$2:$I289 &amp; "" ("" &amp; 'Σύνοψη'!$J"&amp;"$2:$J289 &amp; "")"", 'Σύνοψη'!$F$2:$F289=$A254, 'Σύνοψη'!$G$2:$G289=$B254, 'Σύνοψη'!$C$2:$C289=H$3)), IF(SUMPRODUCT(('Σύνοψη'!$F$2:$F289=$A254)*('Σύνοψη'!$C$2:$C289=H$3)*('Σύνοψη'!$G$2:$G289&lt;$B254)*('Σύνοψη'!$H$2:$H289&gt;$B254))&gt;0, CHAR(34), """") ), """")"),"")</f>
        <v/>
      </c>
      <c r="I254" s="3"/>
    </row>
    <row r="255" spans="1:9" x14ac:dyDescent="0.25">
      <c r="A255" s="95">
        <f t="shared" si="17"/>
        <v>46288</v>
      </c>
      <c r="B255" s="89">
        <v>0.625</v>
      </c>
      <c r="C255" s="67" t="str">
        <f ca="1">IFERROR(__xludf.DUMMYFUNCTION("IFERROR(IF(SUMPRODUCT(('Σύνοψη'!$F$2:$F289=$A255)*('Σύνοψη'!$C$2:$C289=C$3)*('Σύνοψη'!$G$2:$G289=$B255))&gt;0,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'Σύνοψη'!$C$2:$C289=C$3)), IF(SUMPRODUCT(('Σύνοψη'!$F$2:$F289=$A255)*('Σύνοψη'!$C$2:$C289=C$3)*('Σύνοψη'!$G$2:$G289&lt;$B255)*('Σύνοψη'!$H$2:$H289&gt;$B255))&gt;0, CHAR(34), """") ), """")"),"")</f>
        <v/>
      </c>
      <c r="D255" s="67" t="str">
        <f ca="1">IFERROR(__xludf.DUMMYFUNCTION("IFERROR(IF(SUMPRODUCT(('Σύνοψη'!$F$2:$F289=$A255)*('Σύνοψη'!$C$2:$C289=D$3)*('Σύνοψη'!$G$2:$G289=$B255))&gt;0,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'Σύνοψη'!$C$2:$C289=D$3)), IF(SUMPRODUCT(('Σύνοψη'!$F$2:$F289=$A255)*('Σύνοψη'!$C$2:$C289=D$3)*('Σύνοψη'!$G$2:$G289&lt;$B255)*('Σύνοψη'!$H$2:$H289&gt;$B255))&gt;0, CHAR(34), """") ), """")"),"")</f>
        <v/>
      </c>
      <c r="E255" s="67" t="str">
        <f ca="1">IFERROR(__xludf.DUMMYFUNCTION("IFERROR(IF(SUMPRODUCT(('Σύνοψη'!$F$2:$F289=$A255)*('Σύνοψη'!$C$2:$C289=E$3)*('Σύνοψη'!$G$2:$G289=$B255))&gt;0,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'Σύνοψη'!$C$2:$C289=E$3)), IF(SUMPRODUCT(('Σύνοψη'!$F$2:$F289=$A255)*('Σύνοψη'!$C$2:$C289=E$3)*('Σύνοψη'!$G$2:$G289&lt;$B255)*('Σύνοψη'!$H$2:$H289&gt;$B255))&gt;0, CHAR(34), """") ), """")"),"")</f>
        <v/>
      </c>
      <c r="F255" s="67" t="str">
        <f ca="1">IFERROR(__xludf.DUMMYFUNCTION("IFERROR(IF(SUMPRODUCT(('Σύνοψη'!$F$2:$F289=$A255)*('Σύνοψη'!$C$2:$C289=F$3)*('Σύνοψη'!$G$2:$G289=$B255))&gt;0,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'Σύνοψη'!$C$2:$C289=F$3)), IF(SUMPRODUCT(('Σύνοψη'!$F$2:$F289=$A255)*('Σύνοψη'!$C$2:$C289=F$3)*('Σύνοψη'!$G$2:$G289&lt;$B255)*('Σύνοψη'!$H$2:$H289&gt;$B255))&gt;0, CHAR(34), """") ), """")"),"")</f>
        <v/>
      </c>
      <c r="G255" s="67" t="str">
        <f ca="1">IFERROR(__xludf.DUMMYFUNCTION("IFERROR(IF(SUMPRODUCT(('Σύνοψη'!$F$2:$F289=$A255)*('Σύνοψη'!$C$2:$C289=G$3)*('Σύνοψη'!$G$2:$G289=$B255))&gt;0,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'Σύνοψη'!$C$2:$C289=G$3)), IF(SUMPRODUCT(('Σύνοψη'!$F$2:$F289=$A255)*('Σύνοψη'!$C$2:$C289=G$3)*('Σύνοψη'!$G$2:$G289&lt;$B255)*('Σύνοψη'!$H$2:$H289&gt;$B255))&gt;0, CHAR(34), """") ), """")"),"")</f>
        <v/>
      </c>
      <c r="H255" s="67" t="str">
        <f ca="1">IFERROR(__xludf.DUMMYFUNCTION("IFERROR(IF(SUMPRODUCT(('Σύνοψη'!$F$2:$F289=$A255)*('Σύνοψη'!$C$2:$C289=H$3)*('Σύνοψη'!$G$2:$G289=$B255))&gt;0, TEXTJOIN(CHAR(10) &amp; ""-----------------------"" &amp; CHAR(10), TRUE, FILTER('Σύνοψη'!$E$2:$E289 &amp; "" - "" &amp; 'Σύνοψη'!$I$2:$I289 &amp; "" ("" &amp; 'Σύνοψη'!$J"&amp;"$2:$J289 &amp; "")"", 'Σύνοψη'!$F$2:$F289=$A255, 'Σύνοψη'!$G$2:$G289=$B255, 'Σύνοψη'!$C$2:$C289=H$3)), IF(SUMPRODUCT(('Σύνοψη'!$F$2:$F289=$A255)*('Σύνοψη'!$C$2:$C289=H$3)*('Σύνοψη'!$G$2:$G289&lt;$B255)*('Σύνοψη'!$H$2:$H289&gt;$B255))&gt;0, CHAR(34), """") ), """")"),"")</f>
        <v/>
      </c>
      <c r="I255" s="3"/>
    </row>
    <row r="256" spans="1:9" x14ac:dyDescent="0.25">
      <c r="A256" s="95">
        <f t="shared" si="17"/>
        <v>46288</v>
      </c>
      <c r="B256" s="89">
        <v>0.66666666666666663</v>
      </c>
      <c r="C256" s="67" t="str">
        <f ca="1">IFERROR(__xludf.DUMMYFUNCTION("IFERROR(IF(SUMPRODUCT(('Σύνοψη'!$F$2:$F289=$A256)*('Σύνοψη'!$C$2:$C289=C$3)*('Σύνοψη'!$G$2:$G289=$B256))&gt;0,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'Σύνοψη'!$C$2:$C289=C$3)), IF(SUMPRODUCT(('Σύνοψη'!$F$2:$F289=$A256)*('Σύνοψη'!$C$2:$C289=C$3)*('Σύνοψη'!$G$2:$G289&lt;$B256)*('Σύνοψη'!$H$2:$H289&gt;$B256))&gt;0, CHAR(34), """") ), """")"),"")</f>
        <v/>
      </c>
      <c r="D256" s="67" t="str">
        <f ca="1">IFERROR(__xludf.DUMMYFUNCTION("IFERROR(IF(SUMPRODUCT(('Σύνοψη'!$F$2:$F289=$A256)*('Σύνοψη'!$C$2:$C289=D$3)*('Σύνοψη'!$G$2:$G289=$B256))&gt;0,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'Σύνοψη'!$C$2:$C289=D$3)), IF(SUMPRODUCT(('Σύνοψη'!$F$2:$F289=$A256)*('Σύνοψη'!$C$2:$C289=D$3)*('Σύνοψη'!$G$2:$G289&lt;$B256)*('Σύνοψη'!$H$2:$H289&gt;$B256))&gt;0, CHAR(34), """") ), """")"),"")</f>
        <v/>
      </c>
      <c r="E256" s="67" t="str">
        <f ca="1">IFERROR(__xludf.DUMMYFUNCTION("IFERROR(IF(SUMPRODUCT(('Σύνοψη'!$F$2:$F289=$A256)*('Σύνοψη'!$C$2:$C289=E$3)*('Σύνοψη'!$G$2:$G289=$B256))&gt;0,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'Σύνοψη'!$C$2:$C289=E$3)), IF(SUMPRODUCT(('Σύνοψη'!$F$2:$F289=$A256)*('Σύνοψη'!$C$2:$C289=E$3)*('Σύνοψη'!$G$2:$G289&lt;$B256)*('Σύνοψη'!$H$2:$H289&gt;$B256))&gt;0, CHAR(34), """") ), """")"),"")</f>
        <v/>
      </c>
      <c r="F256" s="67" t="str">
        <f ca="1">IFERROR(__xludf.DUMMYFUNCTION("IFERROR(IF(SUMPRODUCT(('Σύνοψη'!$F$2:$F289=$A256)*('Σύνοψη'!$C$2:$C289=F$3)*('Σύνοψη'!$G$2:$G289=$B256))&gt;0,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'Σύνοψη'!$C$2:$C289=F$3)), IF(SUMPRODUCT(('Σύνοψη'!$F$2:$F289=$A256)*('Σύνοψη'!$C$2:$C289=F$3)*('Σύνοψη'!$G$2:$G289&lt;$B256)*('Σύνοψη'!$H$2:$H289&gt;$B256))&gt;0, CHAR(34), """") ), """")"),"")</f>
        <v/>
      </c>
      <c r="G256" s="67" t="str">
        <f ca="1">IFERROR(__xludf.DUMMYFUNCTION("IFERROR(IF(SUMPRODUCT(('Σύνοψη'!$F$2:$F289=$A256)*('Σύνοψη'!$C$2:$C289=G$3)*('Σύνοψη'!$G$2:$G289=$B256))&gt;0,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'Σύνοψη'!$C$2:$C289=G$3)), IF(SUMPRODUCT(('Σύνοψη'!$F$2:$F289=$A256)*('Σύνοψη'!$C$2:$C289=G$3)*('Σύνοψη'!$G$2:$G289&lt;$B256)*('Σύνοψη'!$H$2:$H289&gt;$B256))&gt;0, CHAR(34), """") ), """")"),"")</f>
        <v/>
      </c>
      <c r="H256" s="67" t="str">
        <f ca="1">IFERROR(__xludf.DUMMYFUNCTION("IFERROR(IF(SUMPRODUCT(('Σύνοψη'!$F$2:$F289=$A256)*('Σύνοψη'!$C$2:$C289=H$3)*('Σύνοψη'!$G$2:$G289=$B256))&gt;0, TEXTJOIN(CHAR(10) &amp; ""-----------------------"" &amp; CHAR(10), TRUE, FILTER('Σύνοψη'!$E$2:$E289 &amp; "" - "" &amp; 'Σύνοψη'!$I$2:$I289 &amp; "" ("" &amp; 'Σύνοψη'!$J"&amp;"$2:$J289 &amp; "")"", 'Σύνοψη'!$F$2:$F289=$A256, 'Σύνοψη'!$G$2:$G289=$B256, 'Σύνοψη'!$C$2:$C289=H$3)), IF(SUMPRODUCT(('Σύνοψη'!$F$2:$F289=$A256)*('Σύνοψη'!$C$2:$C289=H$3)*('Σύνοψη'!$G$2:$G289&lt;$B256)*('Σύνοψη'!$H$2:$H289&gt;$B256))&gt;0, CHAR(34), """") ), """")"),"")</f>
        <v/>
      </c>
      <c r="I256" s="3"/>
    </row>
    <row r="257" spans="1:9" x14ac:dyDescent="0.25">
      <c r="A257" s="95">
        <f t="shared" si="17"/>
        <v>46288</v>
      </c>
      <c r="B257" s="89">
        <v>0.70833333333333337</v>
      </c>
      <c r="C257" s="67" t="str">
        <f ca="1">IFERROR(__xludf.DUMMYFUNCTION("IFERROR(IF(SUMPRODUCT(('Σύνοψη'!$F$2:$F289=$A257)*('Σύνοψη'!$C$2:$C289=C$3)*('Σύνοψη'!$G$2:$G289=$B257))&gt;0,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'Σύνοψη'!$C$2:$C289=C$3)), IF(SUMPRODUCT(('Σύνοψη'!$F$2:$F289=$A257)*('Σύνοψη'!$C$2:$C289=C$3)*('Σύνοψη'!$G$2:$G289&lt;$B257)*('Σύνοψη'!$H$2:$H289&gt;$B257))&gt;0, CHAR(34), """") ), """")"),"")</f>
        <v/>
      </c>
      <c r="D257" s="67" t="str">
        <f ca="1">IFERROR(__xludf.DUMMYFUNCTION("IFERROR(IF(SUMPRODUCT(('Σύνοψη'!$F$2:$F289=$A257)*('Σύνοψη'!$C$2:$C289=D$3)*('Σύνοψη'!$G$2:$G289=$B257))&gt;0,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'Σύνοψη'!$C$2:$C289=D$3)), IF(SUMPRODUCT(('Σύνοψη'!$F$2:$F289=$A257)*('Σύνοψη'!$C$2:$C289=D$3)*('Σύνοψη'!$G$2:$G289&lt;$B257)*('Σύνοψη'!$H$2:$H289&gt;$B257))&gt;0, CHAR(34), """") ), """")"),"")</f>
        <v/>
      </c>
      <c r="E257" s="67" t="str">
        <f ca="1">IFERROR(__xludf.DUMMYFUNCTION("IFERROR(IF(SUMPRODUCT(('Σύνοψη'!$F$2:$F289=$A257)*('Σύνοψη'!$C$2:$C289=E$3)*('Σύνοψη'!$G$2:$G289=$B257))&gt;0,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'Σύνοψη'!$C$2:$C289=E$3)), IF(SUMPRODUCT(('Σύνοψη'!$F$2:$F289=$A257)*('Σύνοψη'!$C$2:$C289=E$3)*('Σύνοψη'!$G$2:$G289&lt;$B257)*('Σύνοψη'!$H$2:$H289&gt;$B257))&gt;0, CHAR(34), """") ), """")"),"")</f>
        <v/>
      </c>
      <c r="F257" s="67" t="str">
        <f ca="1">IFERROR(__xludf.DUMMYFUNCTION("IFERROR(IF(SUMPRODUCT(('Σύνοψη'!$F$2:$F289=$A257)*('Σύνοψη'!$C$2:$C289=F$3)*('Σύνοψη'!$G$2:$G289=$B257))&gt;0,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'Σύνοψη'!$C$2:$C289=F$3)), IF(SUMPRODUCT(('Σύνοψη'!$F$2:$F289=$A257)*('Σύνοψη'!$C$2:$C289=F$3)*('Σύνοψη'!$G$2:$G289&lt;$B257)*('Σύνοψη'!$H$2:$H289&gt;$B257))&gt;0, CHAR(34), """") ), """")"),"")</f>
        <v/>
      </c>
      <c r="G257" s="67" t="str">
        <f ca="1">IFERROR(__xludf.DUMMYFUNCTION("IFERROR(IF(SUMPRODUCT(('Σύνοψη'!$F$2:$F289=$A257)*('Σύνοψη'!$C$2:$C289=G$3)*('Σύνοψη'!$G$2:$G289=$B257))&gt;0,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'Σύνοψη'!$C$2:$C289=G$3)), IF(SUMPRODUCT(('Σύνοψη'!$F$2:$F289=$A257)*('Σύνοψη'!$C$2:$C289=G$3)*('Σύνοψη'!$G$2:$G289&lt;$B257)*('Σύνοψη'!$H$2:$H289&gt;$B257))&gt;0, CHAR(34), """") ), """")"),"")</f>
        <v/>
      </c>
      <c r="H257" s="67" t="str">
        <f ca="1">IFERROR(__xludf.DUMMYFUNCTION("IFERROR(IF(SUMPRODUCT(('Σύνοψη'!$F$2:$F289=$A257)*('Σύνοψη'!$C$2:$C289=H$3)*('Σύνοψη'!$G$2:$G289=$B257))&gt;0, TEXTJOIN(CHAR(10) &amp; ""-----------------------"" &amp; CHAR(10), TRUE, FILTER('Σύνοψη'!$E$2:$E289 &amp; "" - "" &amp; 'Σύνοψη'!$I$2:$I289 &amp; "" ("" &amp; 'Σύνοψη'!$J"&amp;"$2:$J289 &amp; "")"", 'Σύνοψη'!$F$2:$F289=$A257, 'Σύνοψη'!$G$2:$G289=$B257, 'Σύνοψη'!$C$2:$C289=H$3)), IF(SUMPRODUCT(('Σύνοψη'!$F$2:$F289=$A257)*('Σύνοψη'!$C$2:$C289=H$3)*('Σύνοψη'!$G$2:$G289&lt;$B257)*('Σύνοψη'!$H$2:$H289&gt;$B257))&gt;0, CHAR(34), """") ), """")"),"")</f>
        <v/>
      </c>
      <c r="I257" s="3"/>
    </row>
    <row r="258" spans="1:9" x14ac:dyDescent="0.25">
      <c r="A258" s="95">
        <f t="shared" si="17"/>
        <v>46288</v>
      </c>
      <c r="B258" s="89">
        <v>0.75</v>
      </c>
      <c r="C258" s="67" t="str">
        <f ca="1">IFERROR(__xludf.DUMMYFUNCTION("IFERROR(IF(SUMPRODUCT(('Σύνοψη'!$F$2:$F289=$A258)*('Σύνοψη'!$C$2:$C289=C$3)*('Σύνοψη'!$G$2:$G289=$B258))&gt;0,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'Σύνοψη'!$C$2:$C289=C$3)), IF(SUMPRODUCT(('Σύνοψη'!$F$2:$F289=$A258)*('Σύνοψη'!$C$2:$C289=C$3)*('Σύνοψη'!$G$2:$G289&lt;$B258)*('Σύνοψη'!$H$2:$H289&gt;$B258))&gt;0, CHAR(34), """") ), """")"),"")</f>
        <v/>
      </c>
      <c r="D258" s="67" t="str">
        <f ca="1">IFERROR(__xludf.DUMMYFUNCTION("IFERROR(IF(SUMPRODUCT(('Σύνοψη'!$F$2:$F289=$A258)*('Σύνοψη'!$C$2:$C289=D$3)*('Σύνοψη'!$G$2:$G289=$B258))&gt;0,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'Σύνοψη'!$C$2:$C289=D$3)), IF(SUMPRODUCT(('Σύνοψη'!$F$2:$F289=$A258)*('Σύνοψη'!$C$2:$C289=D$3)*('Σύνοψη'!$G$2:$G289&lt;$B258)*('Σύνοψη'!$H$2:$H289&gt;$B258))&gt;0, CHAR(34), """") ), """")"),"")</f>
        <v/>
      </c>
      <c r="E258" s="67" t="str">
        <f ca="1">IFERROR(__xludf.DUMMYFUNCTION("IFERROR(IF(SUMPRODUCT(('Σύνοψη'!$F$2:$F289=$A258)*('Σύνοψη'!$C$2:$C289=E$3)*('Σύνοψη'!$G$2:$G289=$B258))&gt;0,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'Σύνοψη'!$C$2:$C289=E$3)), IF(SUMPRODUCT(('Σύνοψη'!$F$2:$F289=$A258)*('Σύνοψη'!$C$2:$C289=E$3)*('Σύνοψη'!$G$2:$G289&lt;$B258)*('Σύνοψη'!$H$2:$H289&gt;$B258))&gt;0, CHAR(34), """") ), """")"),"")</f>
        <v/>
      </c>
      <c r="F258" s="67" t="str">
        <f ca="1">IFERROR(__xludf.DUMMYFUNCTION("IFERROR(IF(SUMPRODUCT(('Σύνοψη'!$F$2:$F289=$A258)*('Σύνοψη'!$C$2:$C289=F$3)*('Σύνοψη'!$G$2:$G289=$B258))&gt;0,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'Σύνοψη'!$C$2:$C289=F$3)), IF(SUMPRODUCT(('Σύνοψη'!$F$2:$F289=$A258)*('Σύνοψη'!$C$2:$C289=F$3)*('Σύνοψη'!$G$2:$G289&lt;$B258)*('Σύνοψη'!$H$2:$H289&gt;$B258))&gt;0, CHAR(34), """") ), """")"),"")</f>
        <v/>
      </c>
      <c r="G258" s="67" t="str">
        <f ca="1">IFERROR(__xludf.DUMMYFUNCTION("IFERROR(IF(SUMPRODUCT(('Σύνοψη'!$F$2:$F289=$A258)*('Σύνοψη'!$C$2:$C289=G$3)*('Σύνοψη'!$G$2:$G289=$B258))&gt;0,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'Σύνοψη'!$C$2:$C289=G$3)), IF(SUMPRODUCT(('Σύνοψη'!$F$2:$F289=$A258)*('Σύνοψη'!$C$2:$C289=G$3)*('Σύνοψη'!$G$2:$G289&lt;$B258)*('Σύνοψη'!$H$2:$H289&gt;$B258))&gt;0, CHAR(34), """") ), """")"),"")</f>
        <v/>
      </c>
      <c r="H258" s="67" t="str">
        <f ca="1">IFERROR(__xludf.DUMMYFUNCTION("IFERROR(IF(SUMPRODUCT(('Σύνοψη'!$F$2:$F289=$A258)*('Σύνοψη'!$C$2:$C289=H$3)*('Σύνοψη'!$G$2:$G289=$B258))&gt;0, TEXTJOIN(CHAR(10) &amp; ""-----------------------"" &amp; CHAR(10), TRUE, FILTER('Σύνοψη'!$E$2:$E289 &amp; "" - "" &amp; 'Σύνοψη'!$I$2:$I289 &amp; "" ("" &amp; 'Σύνοψη'!$J"&amp;"$2:$J289 &amp; "")"", 'Σύνοψη'!$F$2:$F289=$A258, 'Σύνοψη'!$G$2:$G289=$B258, 'Σύνοψη'!$C$2:$C289=H$3)), IF(SUMPRODUCT(('Σύνοψη'!$F$2:$F289=$A258)*('Σύνοψη'!$C$2:$C289=H$3)*('Σύνοψη'!$G$2:$G289&lt;$B258)*('Σύνοψη'!$H$2:$H289&gt;$B258))&gt;0, CHAR(34), """") ), """")"),"")</f>
        <v/>
      </c>
      <c r="I258" s="3"/>
    </row>
    <row r="259" spans="1:9" x14ac:dyDescent="0.25">
      <c r="A259" s="95">
        <f t="shared" si="17"/>
        <v>46288</v>
      </c>
      <c r="B259" s="89">
        <v>0.79166666666666663</v>
      </c>
      <c r="C259" s="67" t="str">
        <f ca="1">IFERROR(__xludf.DUMMYFUNCTION("IFERROR(IF(SUMPRODUCT(('Σύνοψη'!$F$2:$F289=$A259)*('Σύνοψη'!$C$2:$C289=C$3)*('Σύνοψη'!$G$2:$G289=$B259))&gt;0,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'Σύνοψη'!$C$2:$C289=C$3)), IF(SUMPRODUCT(('Σύνοψη'!$F$2:$F289=$A259)*('Σύνοψη'!$C$2:$C289=C$3)*('Σύνοψη'!$G$2:$G289&lt;$B259)*('Σύνοψη'!$H$2:$H289&gt;$B259))&gt;0, CHAR(34), """") ), """")"),"")</f>
        <v/>
      </c>
      <c r="D259" s="67" t="str">
        <f ca="1">IFERROR(__xludf.DUMMYFUNCTION("IFERROR(IF(SUMPRODUCT(('Σύνοψη'!$F$2:$F289=$A259)*('Σύνοψη'!$C$2:$C289=D$3)*('Σύνοψη'!$G$2:$G289=$B259))&gt;0,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'Σύνοψη'!$C$2:$C289=D$3)), IF(SUMPRODUCT(('Σύνοψη'!$F$2:$F289=$A259)*('Σύνοψη'!$C$2:$C289=D$3)*('Σύνοψη'!$G$2:$G289&lt;$B259)*('Σύνοψη'!$H$2:$H289&gt;$B259))&gt;0, CHAR(34), """") ), """")"),"")</f>
        <v/>
      </c>
      <c r="E259" s="67" t="str">
        <f ca="1">IFERROR(__xludf.DUMMYFUNCTION("IFERROR(IF(SUMPRODUCT(('Σύνοψη'!$F$2:$F289=$A259)*('Σύνοψη'!$C$2:$C289=E$3)*('Σύνοψη'!$G$2:$G289=$B259))&gt;0,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'Σύνοψη'!$C$2:$C289=E$3)), IF(SUMPRODUCT(('Σύνοψη'!$F$2:$F289=$A259)*('Σύνοψη'!$C$2:$C289=E$3)*('Σύνοψη'!$G$2:$G289&lt;$B259)*('Σύνοψη'!$H$2:$H289&gt;$B259))&gt;0, CHAR(34), """") ), """")"),"")</f>
        <v/>
      </c>
      <c r="F259" s="67" t="str">
        <f ca="1">IFERROR(__xludf.DUMMYFUNCTION("IFERROR(IF(SUMPRODUCT(('Σύνοψη'!$F$2:$F289=$A259)*('Σύνοψη'!$C$2:$C289=F$3)*('Σύνοψη'!$G$2:$G289=$B259))&gt;0,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'Σύνοψη'!$C$2:$C289=F$3)), IF(SUMPRODUCT(('Σύνοψη'!$F$2:$F289=$A259)*('Σύνοψη'!$C$2:$C289=F$3)*('Σύνοψη'!$G$2:$G289&lt;$B259)*('Σύνοψη'!$H$2:$H289&gt;$B259))&gt;0, CHAR(34), """") ), """")"),"")</f>
        <v/>
      </c>
      <c r="G259" s="67" t="str">
        <f ca="1">IFERROR(__xludf.DUMMYFUNCTION("IFERROR(IF(SUMPRODUCT(('Σύνοψη'!$F$2:$F289=$A259)*('Σύνοψη'!$C$2:$C289=G$3)*('Σύνοψη'!$G$2:$G289=$B259))&gt;0,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'Σύνοψη'!$C$2:$C289=G$3)), IF(SUMPRODUCT(('Σύνοψη'!$F$2:$F289=$A259)*('Σύνοψη'!$C$2:$C289=G$3)*('Σύνοψη'!$G$2:$G289&lt;$B259)*('Σύνοψη'!$H$2:$H289&gt;$B259))&gt;0, CHAR(34), """") ), """")"),"")</f>
        <v/>
      </c>
      <c r="H259" s="67" t="str">
        <f ca="1">IFERROR(__xludf.DUMMYFUNCTION("IFERROR(IF(SUMPRODUCT(('Σύνοψη'!$F$2:$F289=$A259)*('Σύνοψη'!$C$2:$C289=H$3)*('Σύνοψη'!$G$2:$G289=$B259))&gt;0, TEXTJOIN(CHAR(10) &amp; ""-----------------------"" &amp; CHAR(10), TRUE, FILTER('Σύνοψη'!$E$2:$E289 &amp; "" - "" &amp; 'Σύνοψη'!$I$2:$I289 &amp; "" ("" &amp; 'Σύνοψη'!$J"&amp;"$2:$J289 &amp; "")"", 'Σύνοψη'!$F$2:$F289=$A259, 'Σύνοψη'!$G$2:$G289=$B259, 'Σύνοψη'!$C$2:$C289=H$3)), IF(SUMPRODUCT(('Σύνοψη'!$F$2:$F289=$A259)*('Σύνοψη'!$C$2:$C289=H$3)*('Σύνοψη'!$G$2:$G289&lt;$B259)*('Σύνοψη'!$H$2:$H289&gt;$B259))&gt;0, CHAR(34), """") ), """")"),"")</f>
        <v/>
      </c>
      <c r="I259" s="3"/>
    </row>
    <row r="260" spans="1:9" x14ac:dyDescent="0.25">
      <c r="A260" s="95">
        <f t="shared" si="17"/>
        <v>46288</v>
      </c>
      <c r="B260" s="89">
        <v>0.83333333333333337</v>
      </c>
      <c r="C260" s="67" t="str">
        <f ca="1">IFERROR(__xludf.DUMMYFUNCTION("IFERROR(IF(SUMPRODUCT(('Σύνοψη'!$F$2:$F289=$A260)*('Σύνοψη'!$C$2:$C289=C$3)*('Σύνοψη'!$G$2:$G289=$B260))&gt;0,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'Σύνοψη'!$C$2:$C289=C$3)), IF(SUMPRODUCT(('Σύνοψη'!$F$2:$F289=$A260)*('Σύνοψη'!$C$2:$C289=C$3)*('Σύνοψη'!$G$2:$G289&lt;$B260)*('Σύνοψη'!$H$2:$H289&gt;$B260))&gt;0, CHAR(34), """") ), """")"),"")</f>
        <v/>
      </c>
      <c r="D260" s="67" t="str">
        <f ca="1">IFERROR(__xludf.DUMMYFUNCTION("IFERROR(IF(SUMPRODUCT(('Σύνοψη'!$F$2:$F289=$A260)*('Σύνοψη'!$C$2:$C289=D$3)*('Σύνοψη'!$G$2:$G289=$B260))&gt;0,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'Σύνοψη'!$C$2:$C289=D$3)), IF(SUMPRODUCT(('Σύνοψη'!$F$2:$F289=$A260)*('Σύνοψη'!$C$2:$C289=D$3)*('Σύνοψη'!$G$2:$G289&lt;$B260)*('Σύνοψη'!$H$2:$H289&gt;$B260))&gt;0, CHAR(34), """") ), """")"),"")</f>
        <v/>
      </c>
      <c r="E260" s="67" t="str">
        <f ca="1">IFERROR(__xludf.DUMMYFUNCTION("IFERROR(IF(SUMPRODUCT(('Σύνοψη'!$F$2:$F289=$A260)*('Σύνοψη'!$C$2:$C289=E$3)*('Σύνοψη'!$G$2:$G289=$B260))&gt;0,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'Σύνοψη'!$C$2:$C289=E$3)), IF(SUMPRODUCT(('Σύνοψη'!$F$2:$F289=$A260)*('Σύνοψη'!$C$2:$C289=E$3)*('Σύνοψη'!$G$2:$G289&lt;$B260)*('Σύνοψη'!$H$2:$H289&gt;$B260))&gt;0, CHAR(34), """") ), """")"),"")</f>
        <v/>
      </c>
      <c r="F260" s="67" t="str">
        <f ca="1">IFERROR(__xludf.DUMMYFUNCTION("IFERROR(IF(SUMPRODUCT(('Σύνοψη'!$F$2:$F289=$A260)*('Σύνοψη'!$C$2:$C289=F$3)*('Σύνοψη'!$G$2:$G289=$B260))&gt;0,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'Σύνοψη'!$C$2:$C289=F$3)), IF(SUMPRODUCT(('Σύνοψη'!$F$2:$F289=$A260)*('Σύνοψη'!$C$2:$C289=F$3)*('Σύνοψη'!$G$2:$G289&lt;$B260)*('Σύνοψη'!$H$2:$H289&gt;$B260))&gt;0, CHAR(34), """") ), """")"),"")</f>
        <v/>
      </c>
      <c r="G260" s="67" t="str">
        <f ca="1">IFERROR(__xludf.DUMMYFUNCTION("IFERROR(IF(SUMPRODUCT(('Σύνοψη'!$F$2:$F289=$A260)*('Σύνοψη'!$C$2:$C289=G$3)*('Σύνοψη'!$G$2:$G289=$B260))&gt;0,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'Σύνοψη'!$C$2:$C289=G$3)), IF(SUMPRODUCT(('Σύνοψη'!$F$2:$F289=$A260)*('Σύνοψη'!$C$2:$C289=G$3)*('Σύνοψη'!$G$2:$G289&lt;$B260)*('Σύνοψη'!$H$2:$H289&gt;$B260))&gt;0, CHAR(34), """") ), """")"),"")</f>
        <v/>
      </c>
      <c r="H260" s="67" t="str">
        <f ca="1">IFERROR(__xludf.DUMMYFUNCTION("IFERROR(IF(SUMPRODUCT(('Σύνοψη'!$F$2:$F289=$A260)*('Σύνοψη'!$C$2:$C289=H$3)*('Σύνοψη'!$G$2:$G289=$B260))&gt;0, TEXTJOIN(CHAR(10) &amp; ""-----------------------"" &amp; CHAR(10), TRUE, FILTER('Σύνοψη'!$E$2:$E289 &amp; "" - "" &amp; 'Σύνοψη'!$I$2:$I289 &amp; "" ("" &amp; 'Σύνοψη'!$J"&amp;"$2:$J289 &amp; "")"", 'Σύνοψη'!$F$2:$F289=$A260, 'Σύνοψη'!$G$2:$G289=$B260, 'Σύνοψη'!$C$2:$C289=H$3)), IF(SUMPRODUCT(('Σύνοψη'!$F$2:$F289=$A260)*('Σύνοψη'!$C$2:$C289=H$3)*('Σύνοψη'!$G$2:$G289&lt;$B260)*('Σύνοψη'!$H$2:$H289&gt;$B260))&gt;0, CHAR(34), """") ), """")"),"")</f>
        <v/>
      </c>
      <c r="I260" s="3"/>
    </row>
    <row r="261" spans="1:9" x14ac:dyDescent="0.25">
      <c r="A261" s="96">
        <f t="shared" si="17"/>
        <v>46288</v>
      </c>
      <c r="B261" s="97">
        <v>0.875</v>
      </c>
      <c r="C261" s="67" t="str">
        <f ca="1">IFERROR(__xludf.DUMMYFUNCTION("IFERROR(IF(SUMPRODUCT(('Σύνοψη'!$F$2:$F289=$A261)*('Σύνοψη'!$C$2:$C289=C$3)*('Σύνοψη'!$G$2:$G289=$B261))&gt;0,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'Σύνοψη'!$C$2:$C289=C$3)), IF(SUMPRODUCT(('Σύνοψη'!$F$2:$F289=$A261)*('Σύνοψη'!$C$2:$C289=C$3)*('Σύνοψη'!$G$2:$G289&lt;$B261)*('Σύνοψη'!$H$2:$H289&gt;$B261))&gt;0, CHAR(34), """") ), """")"),"")</f>
        <v/>
      </c>
      <c r="D261" s="67" t="str">
        <f ca="1">IFERROR(__xludf.DUMMYFUNCTION("IFERROR(IF(SUMPRODUCT(('Σύνοψη'!$F$2:$F289=$A261)*('Σύνοψη'!$C$2:$C289=D$3)*('Σύνοψη'!$G$2:$G289=$B261))&gt;0,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'Σύνοψη'!$C$2:$C289=D$3)), IF(SUMPRODUCT(('Σύνοψη'!$F$2:$F289=$A261)*('Σύνοψη'!$C$2:$C289=D$3)*('Σύνοψη'!$G$2:$G289&lt;$B261)*('Σύνοψη'!$H$2:$H289&gt;$B261))&gt;0, CHAR(34), """") ), """")"),"")</f>
        <v/>
      </c>
      <c r="E261" s="67" t="str">
        <f ca="1">IFERROR(__xludf.DUMMYFUNCTION("IFERROR(IF(SUMPRODUCT(('Σύνοψη'!$F$2:$F289=$A261)*('Σύνοψη'!$C$2:$C289=E$3)*('Σύνοψη'!$G$2:$G289=$B261))&gt;0,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'Σύνοψη'!$C$2:$C289=E$3)), IF(SUMPRODUCT(('Σύνοψη'!$F$2:$F289=$A261)*('Σύνοψη'!$C$2:$C289=E$3)*('Σύνοψη'!$G$2:$G289&lt;$B261)*('Σύνοψη'!$H$2:$H289&gt;$B261))&gt;0, CHAR(34), """") ), """")"),"")</f>
        <v/>
      </c>
      <c r="F261" s="67" t="str">
        <f ca="1">IFERROR(__xludf.DUMMYFUNCTION("IFERROR(IF(SUMPRODUCT(('Σύνοψη'!$F$2:$F289=$A261)*('Σύνοψη'!$C$2:$C289=F$3)*('Σύνοψη'!$G$2:$G289=$B261))&gt;0,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'Σύνοψη'!$C$2:$C289=F$3)), IF(SUMPRODUCT(('Σύνοψη'!$F$2:$F289=$A261)*('Σύνοψη'!$C$2:$C289=F$3)*('Σύνοψη'!$G$2:$G289&lt;$B261)*('Σύνοψη'!$H$2:$H289&gt;$B261))&gt;0, CHAR(34), """") ), """")"),"")</f>
        <v/>
      </c>
      <c r="G261" s="67" t="str">
        <f ca="1">IFERROR(__xludf.DUMMYFUNCTION("IFERROR(IF(SUMPRODUCT(('Σύνοψη'!$F$2:$F289=$A261)*('Σύνοψη'!$C$2:$C289=G$3)*('Σύνοψη'!$G$2:$G289=$B261))&gt;0,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'Σύνοψη'!$C$2:$C289=G$3)), IF(SUMPRODUCT(('Σύνοψη'!$F$2:$F289=$A261)*('Σύνοψη'!$C$2:$C289=G$3)*('Σύνοψη'!$G$2:$G289&lt;$B261)*('Σύνοψη'!$H$2:$H289&gt;$B261))&gt;0, CHAR(34), """") ), """")"),"")</f>
        <v/>
      </c>
      <c r="H261" s="67" t="str">
        <f ca="1">IFERROR(__xludf.DUMMYFUNCTION("IFERROR(IF(SUMPRODUCT(('Σύνοψη'!$F$2:$F289=$A261)*('Σύνοψη'!$C$2:$C289=H$3)*('Σύνοψη'!$G$2:$G289=$B261))&gt;0, TEXTJOIN(CHAR(10) &amp; ""-----------------------"" &amp; CHAR(10), TRUE, FILTER('Σύνοψη'!$E$2:$E289 &amp; "" - "" &amp; 'Σύνοψη'!$I$2:$I289 &amp; "" ("" &amp; 'Σύνοψη'!$J"&amp;"$2:$J289 &amp; "")"", 'Σύνοψη'!$F$2:$F289=$A261, 'Σύνοψη'!$G$2:$G289=$B261, 'Σύνοψη'!$C$2:$C289=H$3)), IF(SUMPRODUCT(('Σύνοψη'!$F$2:$F289=$A261)*('Σύνοψη'!$C$2:$C289=H$3)*('Σύνοψη'!$G$2:$G289&lt;$B261)*('Σύνοψη'!$H$2:$H289&gt;$B261))&gt;0, CHAR(34), """") ), """")"),"")</f>
        <v/>
      </c>
      <c r="I261" s="3"/>
    </row>
    <row r="262" spans="1:9" x14ac:dyDescent="0.25">
      <c r="A262" s="92">
        <f>$D$1+24</f>
        <v>46289</v>
      </c>
      <c r="B262" s="89">
        <v>0.33333333333333331</v>
      </c>
      <c r="C262" s="66" t="str">
        <f ca="1">IFERROR(__xludf.DUMMYFUNCTION("IFERROR(IF(SUMPRODUCT(('Σύνοψη'!$F$2:$F289=$A262)*('Σύνοψη'!$C$2:$C289=C$3)*('Σύνοψη'!$G$2:$G289=$B262))&gt;0,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'Σύνοψη'!$C$2:$C289=C$3)), IF(SUMPRODUCT(('Σύνοψη'!$F$2:$F289=$A262)*('Σύνοψη'!$C$2:$C289=C$3)*('Σύνοψη'!$G$2:$G289&lt;$B262)*('Σύνοψη'!$H$2:$H289&gt;$B262))&gt;0, CHAR(34), """") ), """")"),"")</f>
        <v/>
      </c>
      <c r="D262" s="66" t="str">
        <f ca="1">IFERROR(__xludf.DUMMYFUNCTION("IFERROR(IF(SUMPRODUCT(('Σύνοψη'!$F$2:$F289=$A262)*('Σύνοψη'!$C$2:$C289=D$3)*('Σύνοψη'!$G$2:$G289=$B262))&gt;0,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'Σύνοψη'!$C$2:$C289=D$3)), IF(SUMPRODUCT(('Σύνοψη'!$F$2:$F289=$A262)*('Σύνοψη'!$C$2:$C289=D$3)*('Σύνοψη'!$G$2:$G289&lt;$B262)*('Σύνοψη'!$H$2:$H289&gt;$B262))&gt;0, CHAR(34), """") ), """")"),"")</f>
        <v/>
      </c>
      <c r="E262" s="66" t="str">
        <f ca="1">IFERROR(__xludf.DUMMYFUNCTION("IFERROR(IF(SUMPRODUCT(('Σύνοψη'!$F$2:$F289=$A262)*('Σύνοψη'!$C$2:$C289=E$3)*('Σύνοψη'!$G$2:$G289=$B262))&gt;0,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'Σύνοψη'!$C$2:$C289=E$3)), IF(SUMPRODUCT(('Σύνοψη'!$F$2:$F289=$A262)*('Σύνοψη'!$C$2:$C289=E$3)*('Σύνοψη'!$G$2:$G289&lt;$B262)*('Σύνοψη'!$H$2:$H289&gt;$B262))&gt;0, CHAR(34), """") ), """")"),"")</f>
        <v/>
      </c>
      <c r="F262" s="66" t="str">
        <f ca="1">IFERROR(__xludf.DUMMYFUNCTION("IFERROR(IF(SUMPRODUCT(('Σύνοψη'!$F$2:$F289=$A262)*('Σύνοψη'!$C$2:$C289=F$3)*('Σύνοψη'!$G$2:$G289=$B262))&gt;0,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'Σύνοψη'!$C$2:$C289=F$3)), IF(SUMPRODUCT(('Σύνοψη'!$F$2:$F289=$A262)*('Σύνοψη'!$C$2:$C289=F$3)*('Σύνοψη'!$G$2:$G289&lt;$B262)*('Σύνοψη'!$H$2:$H289&gt;$B262))&gt;0, CHAR(34), """") ), """")"),"")</f>
        <v/>
      </c>
      <c r="G262" s="66" t="str">
        <f ca="1">IFERROR(__xludf.DUMMYFUNCTION("IFERROR(IF(SUMPRODUCT(('Σύνοψη'!$F$2:$F289=$A262)*('Σύνοψη'!$C$2:$C289=G$3)*('Σύνοψη'!$G$2:$G289=$B262))&gt;0,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'Σύνοψη'!$C$2:$C289=G$3)), IF(SUMPRODUCT(('Σύνοψη'!$F$2:$F289=$A262)*('Σύνοψη'!$C$2:$C289=G$3)*('Σύνοψη'!$G$2:$G289&lt;$B262)*('Σύνοψη'!$H$2:$H289&gt;$B262))&gt;0, CHAR(34), """") ), """")"),"")</f>
        <v/>
      </c>
      <c r="H262" s="66" t="str">
        <f ca="1">IFERROR(__xludf.DUMMYFUNCTION("IFERROR(IF(SUMPRODUCT(('Σύνοψη'!$F$2:$F289=$A262)*('Σύνοψη'!$C$2:$C289=H$3)*('Σύνοψη'!$G$2:$G289=$B262))&gt;0, TEXTJOIN(CHAR(10) &amp; ""-----------------------"" &amp; CHAR(10), TRUE, FILTER('Σύνοψη'!$E$2:$E289 &amp; "" - "" &amp; 'Σύνοψη'!$I$2:$I289 &amp; "" ("" &amp; 'Σύνοψη'!$J"&amp;"$2:$J289 &amp; "")"", 'Σύνοψη'!$F$2:$F289=$A262, 'Σύνοψη'!$G$2:$G289=$B262, 'Σύνοψη'!$C$2:$C289=H$3)), IF(SUMPRODUCT(('Σύνοψη'!$F$2:$F289=$A262)*('Σύνοψη'!$C$2:$C289=H$3)*('Σύνοψη'!$G$2:$G289&lt;$B262)*('Σύνοψη'!$H$2:$H289&gt;$B262))&gt;0, CHAR(34), """") ), """")"),"")</f>
        <v/>
      </c>
      <c r="I262" s="3"/>
    </row>
    <row r="263" spans="1:9" x14ac:dyDescent="0.25">
      <c r="A263" s="95">
        <f t="shared" ref="A263:A275" si="18">$A$262</f>
        <v>46289</v>
      </c>
      <c r="B263" s="89">
        <v>0.375</v>
      </c>
      <c r="C263" s="67" t="str">
        <f ca="1">IFERROR(__xludf.DUMMYFUNCTION("IFERROR(IF(SUMPRODUCT(('Σύνοψη'!$F$2:$F289=$A263)*('Σύνοψη'!$C$2:$C289=C$3)*('Σύνοψη'!$G$2:$G289=$B263))&gt;0,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'Σύνοψη'!$C$2:$C289=C$3)), IF(SUMPRODUCT(('Σύνοψη'!$F$2:$F289=$A263)*('Σύνοψη'!$C$2:$C289=C$3)*('Σύνοψη'!$G$2:$G289&lt;$B263)*('Σύνοψη'!$H$2:$H289&gt;$B263))&gt;0, CHAR(34), """") ), """")"),"")</f>
        <v/>
      </c>
      <c r="D263" s="67" t="str">
        <f ca="1">IFERROR(__xludf.DUMMYFUNCTION("IFERROR(IF(SUMPRODUCT(('Σύνοψη'!$F$2:$F289=$A263)*('Σύνοψη'!$C$2:$C289=D$3)*('Σύνοψη'!$G$2:$G289=$B263))&gt;0,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'Σύνοψη'!$C$2:$C289=D$3)), IF(SUMPRODUCT(('Σύνοψη'!$F$2:$F289=$A263)*('Σύνοψη'!$C$2:$C289=D$3)*('Σύνοψη'!$G$2:$G289&lt;$B263)*('Σύνοψη'!$H$2:$H289&gt;$B263))&gt;0, CHAR(34), """") ), """")"),"")</f>
        <v/>
      </c>
      <c r="E263" s="67" t="str">
        <f ca="1">IFERROR(__xludf.DUMMYFUNCTION("IFERROR(IF(SUMPRODUCT(('Σύνοψη'!$F$2:$F289=$A263)*('Σύνοψη'!$C$2:$C289=E$3)*('Σύνοψη'!$G$2:$G289=$B263))&gt;0,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'Σύνοψη'!$C$2:$C289=E$3)), IF(SUMPRODUCT(('Σύνοψη'!$F$2:$F289=$A263)*('Σύνοψη'!$C$2:$C289=E$3)*('Σύνοψη'!$G$2:$G289&lt;$B263)*('Σύνοψη'!$H$2:$H289&gt;$B263))&gt;0, CHAR(34), """") ), """")"),"")</f>
        <v/>
      </c>
      <c r="F263" s="67" t="str">
        <f ca="1">IFERROR(__xludf.DUMMYFUNCTION("IFERROR(IF(SUMPRODUCT(('Σύνοψη'!$F$2:$F289=$A263)*('Σύνοψη'!$C$2:$C289=F$3)*('Σύνοψη'!$G$2:$G289=$B263))&gt;0,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'Σύνοψη'!$C$2:$C289=F$3)), IF(SUMPRODUCT(('Σύνοψη'!$F$2:$F289=$A263)*('Σύνοψη'!$C$2:$C289=F$3)*('Σύνοψη'!$G$2:$G289&lt;$B263)*('Σύνοψη'!$H$2:$H289&gt;$B263))&gt;0, CHAR(34), """") ), """")"),"")</f>
        <v/>
      </c>
      <c r="G263" s="67" t="str">
        <f ca="1">IFERROR(__xludf.DUMMYFUNCTION("IFERROR(IF(SUMPRODUCT(('Σύνοψη'!$F$2:$F289=$A263)*('Σύνοψη'!$C$2:$C289=G$3)*('Σύνοψη'!$G$2:$G289=$B263))&gt;0,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'Σύνοψη'!$C$2:$C289=G$3)), IF(SUMPRODUCT(('Σύνοψη'!$F$2:$F289=$A263)*('Σύνοψη'!$C$2:$C289=G$3)*('Σύνοψη'!$G$2:$G289&lt;$B263)*('Σύνοψη'!$H$2:$H289&gt;$B263))&gt;0, CHAR(34), """") ), """")"),"")</f>
        <v/>
      </c>
      <c r="H263" s="67" t="str">
        <f ca="1">IFERROR(__xludf.DUMMYFUNCTION("IFERROR(IF(SUMPRODUCT(('Σύνοψη'!$F$2:$F289=$A263)*('Σύνοψη'!$C$2:$C289=H$3)*('Σύνοψη'!$G$2:$G289=$B263))&gt;0, TEXTJOIN(CHAR(10) &amp; ""-----------------------"" &amp; CHAR(10), TRUE, FILTER('Σύνοψη'!$E$2:$E289 &amp; "" - "" &amp; 'Σύνοψη'!$I$2:$I289 &amp; "" ("" &amp; 'Σύνοψη'!$J"&amp;"$2:$J289 &amp; "")"", 'Σύνοψη'!$F$2:$F289=$A263, 'Σύνοψη'!$G$2:$G289=$B263, 'Σύνοψη'!$C$2:$C289=H$3)), IF(SUMPRODUCT(('Σύνοψη'!$F$2:$F289=$A263)*('Σύνοψη'!$C$2:$C289=H$3)*('Σύνοψη'!$G$2:$G289&lt;$B263)*('Σύνοψη'!$H$2:$H289&gt;$B263))&gt;0, CHAR(34), """") ), """")"),"")</f>
        <v/>
      </c>
      <c r="I263" s="3"/>
    </row>
    <row r="264" spans="1:9" x14ac:dyDescent="0.25">
      <c r="A264" s="95">
        <f t="shared" si="18"/>
        <v>46289</v>
      </c>
      <c r="B264" s="89">
        <v>0.41666666666666669</v>
      </c>
      <c r="C264" s="67" t="str">
        <f ca="1">IFERROR(__xludf.DUMMYFUNCTION("IFERROR(IF(SUMPRODUCT(('Σύνοψη'!$F$2:$F289=$A264)*('Σύνοψη'!$C$2:$C289=C$3)*('Σύνοψη'!$G$2:$G289=$B264))&gt;0,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'Σύνοψη'!$C$2:$C289=C$3)), IF(SUMPRODUCT(('Σύνοψη'!$F$2:$F289=$A264)*('Σύνοψη'!$C$2:$C289=C$3)*('Σύνοψη'!$G$2:$G289&lt;$B264)*('Σύνοψη'!$H$2:$H289&gt;$B264))&gt;0, CHAR(34), """") ), """")"),"")</f>
        <v/>
      </c>
      <c r="D264" s="67" t="str">
        <f ca="1">IFERROR(__xludf.DUMMYFUNCTION("IFERROR(IF(SUMPRODUCT(('Σύνοψη'!$F$2:$F289=$A264)*('Σύνοψη'!$C$2:$C289=D$3)*('Σύνοψη'!$G$2:$G289=$B264))&gt;0,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'Σύνοψη'!$C$2:$C289=D$3)), IF(SUMPRODUCT(('Σύνοψη'!$F$2:$F289=$A264)*('Σύνοψη'!$C$2:$C289=D$3)*('Σύνοψη'!$G$2:$G289&lt;$B264)*('Σύνοψη'!$H$2:$H289&gt;$B264))&gt;0, CHAR(34), """") ), """")"),"")</f>
        <v/>
      </c>
      <c r="E264" s="67" t="str">
        <f ca="1">IFERROR(__xludf.DUMMYFUNCTION("IFERROR(IF(SUMPRODUCT(('Σύνοψη'!$F$2:$F289=$A264)*('Σύνοψη'!$C$2:$C289=E$3)*('Σύνοψη'!$G$2:$G289=$B264))&gt;0,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'Σύνοψη'!$C$2:$C289=E$3)), IF(SUMPRODUCT(('Σύνοψη'!$F$2:$F289=$A264)*('Σύνοψη'!$C$2:$C289=E$3)*('Σύνοψη'!$G$2:$G289&lt;$B264)*('Σύνοψη'!$H$2:$H289&gt;$B264))&gt;0, CHAR(34), """") ), """")"),"")</f>
        <v/>
      </c>
      <c r="F264" s="67" t="str">
        <f ca="1">IFERROR(__xludf.DUMMYFUNCTION("IFERROR(IF(SUMPRODUCT(('Σύνοψη'!$F$2:$F289=$A264)*('Σύνοψη'!$C$2:$C289=F$3)*('Σύνοψη'!$G$2:$G289=$B264))&gt;0,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'Σύνοψη'!$C$2:$C289=F$3)), IF(SUMPRODUCT(('Σύνοψη'!$F$2:$F289=$A264)*('Σύνοψη'!$C$2:$C289=F$3)*('Σύνοψη'!$G$2:$G289&lt;$B264)*('Σύνοψη'!$H$2:$H289&gt;$B264))&gt;0, CHAR(34), """") ), """")"),"")</f>
        <v/>
      </c>
      <c r="G264" s="67" t="str">
        <f ca="1">IFERROR(__xludf.DUMMYFUNCTION("IFERROR(IF(SUMPRODUCT(('Σύνοψη'!$F$2:$F289=$A264)*('Σύνοψη'!$C$2:$C289=G$3)*('Σύνοψη'!$G$2:$G289=$B264))&gt;0,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'Σύνοψη'!$C$2:$C289=G$3)), IF(SUMPRODUCT(('Σύνοψη'!$F$2:$F289=$A264)*('Σύνοψη'!$C$2:$C289=G$3)*('Σύνοψη'!$G$2:$G289&lt;$B264)*('Σύνοψη'!$H$2:$H289&gt;$B264))&gt;0, CHAR(34), """") ), """")"),"")</f>
        <v/>
      </c>
      <c r="H264" s="67" t="str">
        <f ca="1">IFERROR(__xludf.DUMMYFUNCTION("IFERROR(IF(SUMPRODUCT(('Σύνοψη'!$F$2:$F289=$A264)*('Σύνοψη'!$C$2:$C289=H$3)*('Σύνοψη'!$G$2:$G289=$B264))&gt;0, TEXTJOIN(CHAR(10) &amp; ""-----------------------"" &amp; CHAR(10), TRUE, FILTER('Σύνοψη'!$E$2:$E289 &amp; "" - "" &amp; 'Σύνοψη'!$I$2:$I289 &amp; "" ("" &amp; 'Σύνοψη'!$J"&amp;"$2:$J289 &amp; "")"", 'Σύνοψη'!$F$2:$F289=$A264, 'Σύνοψη'!$G$2:$G289=$B264, 'Σύνοψη'!$C$2:$C289=H$3)), IF(SUMPRODUCT(('Σύνοψη'!$F$2:$F289=$A264)*('Σύνοψη'!$C$2:$C289=H$3)*('Σύνοψη'!$G$2:$G289&lt;$B264)*('Σύνοψη'!$H$2:$H289&gt;$B264))&gt;0, CHAR(34), """") ), """")"),"")</f>
        <v/>
      </c>
      <c r="I264" s="3"/>
    </row>
    <row r="265" spans="1:9" x14ac:dyDescent="0.25">
      <c r="A265" s="95">
        <f t="shared" si="18"/>
        <v>46289</v>
      </c>
      <c r="B265" s="89">
        <v>0.45833333333333331</v>
      </c>
      <c r="C265" s="67" t="str">
        <f ca="1">IFERROR(__xludf.DUMMYFUNCTION("IFERROR(IF(SUMPRODUCT(('Σύνοψη'!$F$2:$F289=$A265)*('Σύνοψη'!$C$2:$C289=C$3)*('Σύνοψη'!$G$2:$G289=$B265))&gt;0,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'Σύνοψη'!$C$2:$C289=C$3)), IF(SUMPRODUCT(('Σύνοψη'!$F$2:$F289=$A265)*('Σύνοψη'!$C$2:$C289=C$3)*('Σύνοψη'!$G$2:$G289&lt;$B265)*('Σύνοψη'!$H$2:$H289&gt;$B265))&gt;0, CHAR(34), """") ), """")"),"")</f>
        <v/>
      </c>
      <c r="D265" s="67" t="str">
        <f ca="1">IFERROR(__xludf.DUMMYFUNCTION("IFERROR(IF(SUMPRODUCT(('Σύνοψη'!$F$2:$F289=$A265)*('Σύνοψη'!$C$2:$C289=D$3)*('Σύνοψη'!$G$2:$G289=$B265))&gt;0,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'Σύνοψη'!$C$2:$C289=D$3)), IF(SUMPRODUCT(('Σύνοψη'!$F$2:$F289=$A265)*('Σύνοψη'!$C$2:$C289=D$3)*('Σύνοψη'!$G$2:$G289&lt;$B265)*('Σύνοψη'!$H$2:$H289&gt;$B265))&gt;0, CHAR(34), """") ), """")"),"")</f>
        <v/>
      </c>
      <c r="E265" s="67" t="str">
        <f ca="1">IFERROR(__xludf.DUMMYFUNCTION("IFERROR(IF(SUMPRODUCT(('Σύνοψη'!$F$2:$F289=$A265)*('Σύνοψη'!$C$2:$C289=E$3)*('Σύνοψη'!$G$2:$G289=$B265))&gt;0,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'Σύνοψη'!$C$2:$C289=E$3)), IF(SUMPRODUCT(('Σύνοψη'!$F$2:$F289=$A265)*('Σύνοψη'!$C$2:$C289=E$3)*('Σύνοψη'!$G$2:$G289&lt;$B265)*('Σύνοψη'!$H$2:$H289&gt;$B265))&gt;0, CHAR(34), """") ), """")"),"")</f>
        <v/>
      </c>
      <c r="F265" s="67" t="str">
        <f ca="1">IFERROR(__xludf.DUMMYFUNCTION("IFERROR(IF(SUMPRODUCT(('Σύνοψη'!$F$2:$F289=$A265)*('Σύνοψη'!$C$2:$C289=F$3)*('Σύνοψη'!$G$2:$G289=$B265))&gt;0,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'Σύνοψη'!$C$2:$C289=F$3)), IF(SUMPRODUCT(('Σύνοψη'!$F$2:$F289=$A265)*('Σύνοψη'!$C$2:$C289=F$3)*('Σύνοψη'!$G$2:$G289&lt;$B265)*('Σύνοψη'!$H$2:$H289&gt;$B265))&gt;0, CHAR(34), """") ), """")"),"")</f>
        <v/>
      </c>
      <c r="G265" s="67" t="str">
        <f ca="1">IFERROR(__xludf.DUMMYFUNCTION("IFERROR(IF(SUMPRODUCT(('Σύνοψη'!$F$2:$F289=$A265)*('Σύνοψη'!$C$2:$C289=G$3)*('Σύνοψη'!$G$2:$G289=$B265))&gt;0,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'Σύνοψη'!$C$2:$C289=G$3)), IF(SUMPRODUCT(('Σύνοψη'!$F$2:$F289=$A265)*('Σύνοψη'!$C$2:$C289=G$3)*('Σύνοψη'!$G$2:$G289&lt;$B265)*('Σύνοψη'!$H$2:$H289&gt;$B265))&gt;0, CHAR(34), """") ), """")"),"")</f>
        <v/>
      </c>
      <c r="H265" s="67" t="str">
        <f ca="1">IFERROR(__xludf.DUMMYFUNCTION("IFERROR(IF(SUMPRODUCT(('Σύνοψη'!$F$2:$F289=$A265)*('Σύνοψη'!$C$2:$C289=H$3)*('Σύνοψη'!$G$2:$G289=$B265))&gt;0, TEXTJOIN(CHAR(10) &amp; ""-----------------------"" &amp; CHAR(10), TRUE, FILTER('Σύνοψη'!$E$2:$E289 &amp; "" - "" &amp; 'Σύνοψη'!$I$2:$I289 &amp; "" ("" &amp; 'Σύνοψη'!$J"&amp;"$2:$J289 &amp; "")"", 'Σύνοψη'!$F$2:$F289=$A265, 'Σύνοψη'!$G$2:$G289=$B265, 'Σύνοψη'!$C$2:$C289=H$3)), IF(SUMPRODUCT(('Σύνοψη'!$F$2:$F289=$A265)*('Σύνοψη'!$C$2:$C289=H$3)*('Σύνοψη'!$G$2:$G289&lt;$B265)*('Σύνοψη'!$H$2:$H289&gt;$B265))&gt;0, CHAR(34), """") ), """")"),"")</f>
        <v/>
      </c>
      <c r="I265" s="3"/>
    </row>
    <row r="266" spans="1:9" x14ac:dyDescent="0.25">
      <c r="A266" s="95">
        <f t="shared" si="18"/>
        <v>46289</v>
      </c>
      <c r="B266" s="89">
        <v>0.5</v>
      </c>
      <c r="C266" s="67" t="str">
        <f ca="1">IFERROR(__xludf.DUMMYFUNCTION("IFERROR(IF(SUMPRODUCT(('Σύνοψη'!$F$2:$F289=$A266)*('Σύνοψη'!$C$2:$C289=C$3)*('Σύνοψη'!$G$2:$G289=$B266))&gt;0,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'Σύνοψη'!$C$2:$C289=C$3)), IF(SUMPRODUCT(('Σύνοψη'!$F$2:$F289=$A266)*('Σύνοψη'!$C$2:$C289=C$3)*('Σύνοψη'!$G$2:$G289&lt;$B266)*('Σύνοψη'!$H$2:$H289&gt;$B266))&gt;0, CHAR(34), """") ), """")"),"")</f>
        <v/>
      </c>
      <c r="D266" s="67" t="str">
        <f ca="1">IFERROR(__xludf.DUMMYFUNCTION("IFERROR(IF(SUMPRODUCT(('Σύνοψη'!$F$2:$F289=$A266)*('Σύνοψη'!$C$2:$C289=D$3)*('Σύνοψη'!$G$2:$G289=$B266))&gt;0,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'Σύνοψη'!$C$2:$C289=D$3)), IF(SUMPRODUCT(('Σύνοψη'!$F$2:$F289=$A266)*('Σύνοψη'!$C$2:$C289=D$3)*('Σύνοψη'!$G$2:$G289&lt;$B266)*('Σύνοψη'!$H$2:$H289&gt;$B266))&gt;0, CHAR(34), """") ), """")"),"")</f>
        <v/>
      </c>
      <c r="E266" s="67" t="str">
        <f ca="1">IFERROR(__xludf.DUMMYFUNCTION("IFERROR(IF(SUMPRODUCT(('Σύνοψη'!$F$2:$F289=$A266)*('Σύνοψη'!$C$2:$C289=E$3)*('Σύνοψη'!$G$2:$G289=$B266))&gt;0,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'Σύνοψη'!$C$2:$C289=E$3)), IF(SUMPRODUCT(('Σύνοψη'!$F$2:$F289=$A266)*('Σύνοψη'!$C$2:$C289=E$3)*('Σύνοψη'!$G$2:$G289&lt;$B266)*('Σύνοψη'!$H$2:$H289&gt;$B266))&gt;0, CHAR(34), """") ), """")"),"")</f>
        <v/>
      </c>
      <c r="F266" s="67" t="str">
        <f ca="1">IFERROR(__xludf.DUMMYFUNCTION("IFERROR(IF(SUMPRODUCT(('Σύνοψη'!$F$2:$F289=$A266)*('Σύνοψη'!$C$2:$C289=F$3)*('Σύνοψη'!$G$2:$G289=$B266))&gt;0,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'Σύνοψη'!$C$2:$C289=F$3)), IF(SUMPRODUCT(('Σύνοψη'!$F$2:$F289=$A266)*('Σύνοψη'!$C$2:$C289=F$3)*('Σύνοψη'!$G$2:$G289&lt;$B266)*('Σύνοψη'!$H$2:$H289&gt;$B266))&gt;0, CHAR(34), """") ), """")"),"")</f>
        <v/>
      </c>
      <c r="G266" s="67" t="str">
        <f ca="1">IFERROR(__xludf.DUMMYFUNCTION("IFERROR(IF(SUMPRODUCT(('Σύνοψη'!$F$2:$F289=$A266)*('Σύνοψη'!$C$2:$C289=G$3)*('Σύνοψη'!$G$2:$G289=$B266))&gt;0,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'Σύνοψη'!$C$2:$C289=G$3)), IF(SUMPRODUCT(('Σύνοψη'!$F$2:$F289=$A266)*('Σύνοψη'!$C$2:$C289=G$3)*('Σύνοψη'!$G$2:$G289&lt;$B266)*('Σύνοψη'!$H$2:$H289&gt;$B266))&gt;0, CHAR(34), """") ), """")"),"")</f>
        <v/>
      </c>
      <c r="H266" s="67" t="str">
        <f ca="1">IFERROR(__xludf.DUMMYFUNCTION("IFERROR(IF(SUMPRODUCT(('Σύνοψη'!$F$2:$F289=$A266)*('Σύνοψη'!$C$2:$C289=H$3)*('Σύνοψη'!$G$2:$G289=$B266))&gt;0, TEXTJOIN(CHAR(10) &amp; ""-----------------------"" &amp; CHAR(10), TRUE, FILTER('Σύνοψη'!$E$2:$E289 &amp; "" - "" &amp; 'Σύνοψη'!$I$2:$I289 &amp; "" ("" &amp; 'Σύνοψη'!$J"&amp;"$2:$J289 &amp; "")"", 'Σύνοψη'!$F$2:$F289=$A266, 'Σύνοψη'!$G$2:$G289=$B266, 'Σύνοψη'!$C$2:$C289=H$3)), IF(SUMPRODUCT(('Σύνοψη'!$F$2:$F289=$A266)*('Σύνοψη'!$C$2:$C289=H$3)*('Σύνοψη'!$G$2:$G289&lt;$B266)*('Σύνοψη'!$H$2:$H289&gt;$B266))&gt;0, CHAR(34), """") ), """")"),"")</f>
        <v/>
      </c>
      <c r="I266" s="3"/>
    </row>
    <row r="267" spans="1:9" x14ac:dyDescent="0.25">
      <c r="A267" s="95">
        <f t="shared" si="18"/>
        <v>46289</v>
      </c>
      <c r="B267" s="89">
        <v>0.54166666666666663</v>
      </c>
      <c r="C267" s="67" t="str">
        <f ca="1">IFERROR(__xludf.DUMMYFUNCTION("IFERROR(IF(SUMPRODUCT(('Σύνοψη'!$F$2:$F289=$A267)*('Σύνοψη'!$C$2:$C289=C$3)*('Σύνοψη'!$G$2:$G289=$B267))&gt;0,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'Σύνοψη'!$C$2:$C289=C$3)), IF(SUMPRODUCT(('Σύνοψη'!$F$2:$F289=$A267)*('Σύνοψη'!$C$2:$C289=C$3)*('Σύνοψη'!$G$2:$G289&lt;$B267)*('Σύνοψη'!$H$2:$H289&gt;$B267))&gt;0, CHAR(34), """") ), """")"),"")</f>
        <v/>
      </c>
      <c r="D267" s="67" t="str">
        <f ca="1">IFERROR(__xludf.DUMMYFUNCTION("IFERROR(IF(SUMPRODUCT(('Σύνοψη'!$F$2:$F289=$A267)*('Σύνοψη'!$C$2:$C289=D$3)*('Σύνοψη'!$G$2:$G289=$B267))&gt;0,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'Σύνοψη'!$C$2:$C289=D$3)), IF(SUMPRODUCT(('Σύνοψη'!$F$2:$F289=$A267)*('Σύνοψη'!$C$2:$C289=D$3)*('Σύνοψη'!$G$2:$G289&lt;$B267)*('Σύνοψη'!$H$2:$H289&gt;$B267))&gt;0, CHAR(34), """") ), """")"),"")</f>
        <v/>
      </c>
      <c r="E267" s="67" t="str">
        <f ca="1">IFERROR(__xludf.DUMMYFUNCTION("IFERROR(IF(SUMPRODUCT(('Σύνοψη'!$F$2:$F289=$A267)*('Σύνοψη'!$C$2:$C289=E$3)*('Σύνοψη'!$G$2:$G289=$B267))&gt;0,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'Σύνοψη'!$C$2:$C289=E$3)), IF(SUMPRODUCT(('Σύνοψη'!$F$2:$F289=$A267)*('Σύνοψη'!$C$2:$C289=E$3)*('Σύνοψη'!$G$2:$G289&lt;$B267)*('Σύνοψη'!$H$2:$H289&gt;$B267))&gt;0, CHAR(34), """") ), """")"),"")</f>
        <v/>
      </c>
      <c r="F267" s="67" t="str">
        <f ca="1">IFERROR(__xludf.DUMMYFUNCTION("IFERROR(IF(SUMPRODUCT(('Σύνοψη'!$F$2:$F289=$A267)*('Σύνοψη'!$C$2:$C289=F$3)*('Σύνοψη'!$G$2:$G289=$B267))&gt;0,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'Σύνοψη'!$C$2:$C289=F$3)), IF(SUMPRODUCT(('Σύνοψη'!$F$2:$F289=$A267)*('Σύνοψη'!$C$2:$C289=F$3)*('Σύνοψη'!$G$2:$G289&lt;$B267)*('Σύνοψη'!$H$2:$H289&gt;$B267))&gt;0, CHAR(34), """") ), """")"),"")</f>
        <v/>
      </c>
      <c r="G267" s="67" t="str">
        <f ca="1">IFERROR(__xludf.DUMMYFUNCTION("IFERROR(IF(SUMPRODUCT(('Σύνοψη'!$F$2:$F289=$A267)*('Σύνοψη'!$C$2:$C289=G$3)*('Σύνοψη'!$G$2:$G289=$B267))&gt;0,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'Σύνοψη'!$C$2:$C289=G$3)), IF(SUMPRODUCT(('Σύνοψη'!$F$2:$F289=$A267)*('Σύνοψη'!$C$2:$C289=G$3)*('Σύνοψη'!$G$2:$G289&lt;$B267)*('Σύνοψη'!$H$2:$H289&gt;$B267))&gt;0, CHAR(34), """") ), """")"),"")</f>
        <v/>
      </c>
      <c r="H267" s="67" t="str">
        <f ca="1">IFERROR(__xludf.DUMMYFUNCTION("IFERROR(IF(SUMPRODUCT(('Σύνοψη'!$F$2:$F289=$A267)*('Σύνοψη'!$C$2:$C289=H$3)*('Σύνοψη'!$G$2:$G289=$B267))&gt;0, TEXTJOIN(CHAR(10) &amp; ""-----------------------"" &amp; CHAR(10), TRUE, FILTER('Σύνοψη'!$E$2:$E289 &amp; "" - "" &amp; 'Σύνοψη'!$I$2:$I289 &amp; "" ("" &amp; 'Σύνοψη'!$J"&amp;"$2:$J289 &amp; "")"", 'Σύνοψη'!$F$2:$F289=$A267, 'Σύνοψη'!$G$2:$G289=$B267, 'Σύνοψη'!$C$2:$C289=H$3)), IF(SUMPRODUCT(('Σύνοψη'!$F$2:$F289=$A267)*('Σύνοψη'!$C$2:$C289=H$3)*('Σύνοψη'!$G$2:$G289&lt;$B267)*('Σύνοψη'!$H$2:$H289&gt;$B267))&gt;0, CHAR(34), """") ), """")"),"")</f>
        <v/>
      </c>
      <c r="I267" s="3"/>
    </row>
    <row r="268" spans="1:9" x14ac:dyDescent="0.25">
      <c r="A268" s="95">
        <f t="shared" si="18"/>
        <v>46289</v>
      </c>
      <c r="B268" s="89">
        <v>0.58333333333333337</v>
      </c>
      <c r="C268" s="67" t="str">
        <f ca="1">IFERROR(__xludf.DUMMYFUNCTION("IFERROR(IF(SUMPRODUCT(('Σύνοψη'!$F$2:$F289=$A268)*('Σύνοψη'!$C$2:$C289=C$3)*('Σύνοψη'!$G$2:$G289=$B268))&gt;0,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'Σύνοψη'!$C$2:$C289=C$3)), IF(SUMPRODUCT(('Σύνοψη'!$F$2:$F289=$A268)*('Σύνοψη'!$C$2:$C289=C$3)*('Σύνοψη'!$G$2:$G289&lt;$B268)*('Σύνοψη'!$H$2:$H289&gt;$B268))&gt;0, CHAR(34), """") ), """")"),"")</f>
        <v/>
      </c>
      <c r="D268" s="67" t="str">
        <f ca="1">IFERROR(__xludf.DUMMYFUNCTION("IFERROR(IF(SUMPRODUCT(('Σύνοψη'!$F$2:$F289=$A268)*('Σύνοψη'!$C$2:$C289=D$3)*('Σύνοψη'!$G$2:$G289=$B268))&gt;0,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'Σύνοψη'!$C$2:$C289=D$3)), IF(SUMPRODUCT(('Σύνοψη'!$F$2:$F289=$A268)*('Σύνοψη'!$C$2:$C289=D$3)*('Σύνοψη'!$G$2:$G289&lt;$B268)*('Σύνοψη'!$H$2:$H289&gt;$B268))&gt;0, CHAR(34), """") ), """")"),"")</f>
        <v/>
      </c>
      <c r="E268" s="67" t="str">
        <f ca="1">IFERROR(__xludf.DUMMYFUNCTION("IFERROR(IF(SUMPRODUCT(('Σύνοψη'!$F$2:$F289=$A268)*('Σύνοψη'!$C$2:$C289=E$3)*('Σύνοψη'!$G$2:$G289=$B268))&gt;0,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'Σύνοψη'!$C$2:$C289=E$3)), IF(SUMPRODUCT(('Σύνοψη'!$F$2:$F289=$A268)*('Σύνοψη'!$C$2:$C289=E$3)*('Σύνοψη'!$G$2:$G289&lt;$B268)*('Σύνοψη'!$H$2:$H289&gt;$B268))&gt;0, CHAR(34), """") ), """")"),"")</f>
        <v/>
      </c>
      <c r="F268" s="67" t="str">
        <f ca="1">IFERROR(__xludf.DUMMYFUNCTION("IFERROR(IF(SUMPRODUCT(('Σύνοψη'!$F$2:$F289=$A268)*('Σύνοψη'!$C$2:$C289=F$3)*('Σύνοψη'!$G$2:$G289=$B268))&gt;0,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'Σύνοψη'!$C$2:$C289=F$3)), IF(SUMPRODUCT(('Σύνοψη'!$F$2:$F289=$A268)*('Σύνοψη'!$C$2:$C289=F$3)*('Σύνοψη'!$G$2:$G289&lt;$B268)*('Σύνοψη'!$H$2:$H289&gt;$B268))&gt;0, CHAR(34), """") ), """")"),"")</f>
        <v/>
      </c>
      <c r="G268" s="67" t="str">
        <f ca="1">IFERROR(__xludf.DUMMYFUNCTION("IFERROR(IF(SUMPRODUCT(('Σύνοψη'!$F$2:$F289=$A268)*('Σύνοψη'!$C$2:$C289=G$3)*('Σύνοψη'!$G$2:$G289=$B268))&gt;0,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'Σύνοψη'!$C$2:$C289=G$3)), IF(SUMPRODUCT(('Σύνοψη'!$F$2:$F289=$A268)*('Σύνοψη'!$C$2:$C289=G$3)*('Σύνοψη'!$G$2:$G289&lt;$B268)*('Σύνοψη'!$H$2:$H289&gt;$B268))&gt;0, CHAR(34), """") ), """")"),"")</f>
        <v/>
      </c>
      <c r="H268" s="67" t="str">
        <f ca="1">IFERROR(__xludf.DUMMYFUNCTION("IFERROR(IF(SUMPRODUCT(('Σύνοψη'!$F$2:$F289=$A268)*('Σύνοψη'!$C$2:$C289=H$3)*('Σύνοψη'!$G$2:$G289=$B268))&gt;0, TEXTJOIN(CHAR(10) &amp; ""-----------------------"" &amp; CHAR(10), TRUE, FILTER('Σύνοψη'!$E$2:$E289 &amp; "" - "" &amp; 'Σύνοψη'!$I$2:$I289 &amp; "" ("" &amp; 'Σύνοψη'!$J"&amp;"$2:$J289 &amp; "")"", 'Σύνοψη'!$F$2:$F289=$A268, 'Σύνοψη'!$G$2:$G289=$B268, 'Σύνοψη'!$C$2:$C289=H$3)), IF(SUMPRODUCT(('Σύνοψη'!$F$2:$F289=$A268)*('Σύνοψη'!$C$2:$C289=H$3)*('Σύνοψη'!$G$2:$G289&lt;$B268)*('Σύνοψη'!$H$2:$H289&gt;$B268))&gt;0, CHAR(34), """") ), """")"),"")</f>
        <v/>
      </c>
      <c r="I268" s="3"/>
    </row>
    <row r="269" spans="1:9" x14ac:dyDescent="0.25">
      <c r="A269" s="95">
        <f t="shared" si="18"/>
        <v>46289</v>
      </c>
      <c r="B269" s="89">
        <v>0.625</v>
      </c>
      <c r="C269" s="67" t="str">
        <f ca="1">IFERROR(__xludf.DUMMYFUNCTION("IFERROR(IF(SUMPRODUCT(('Σύνοψη'!$F$2:$F289=$A269)*('Σύνοψη'!$C$2:$C289=C$3)*('Σύνοψη'!$G$2:$G289=$B269))&gt;0,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'Σύνοψη'!$C$2:$C289=C$3)), IF(SUMPRODUCT(('Σύνοψη'!$F$2:$F289=$A269)*('Σύνοψη'!$C$2:$C289=C$3)*('Σύνοψη'!$G$2:$G289&lt;$B269)*('Σύνοψη'!$H$2:$H289&gt;$B269))&gt;0, CHAR(34), """") ), """")"),"")</f>
        <v/>
      </c>
      <c r="D269" s="67" t="str">
        <f ca="1">IFERROR(__xludf.DUMMYFUNCTION("IFERROR(IF(SUMPRODUCT(('Σύνοψη'!$F$2:$F289=$A269)*('Σύνοψη'!$C$2:$C289=D$3)*('Σύνοψη'!$G$2:$G289=$B269))&gt;0,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'Σύνοψη'!$C$2:$C289=D$3)), IF(SUMPRODUCT(('Σύνοψη'!$F$2:$F289=$A269)*('Σύνοψη'!$C$2:$C289=D$3)*('Σύνοψη'!$G$2:$G289&lt;$B269)*('Σύνοψη'!$H$2:$H289&gt;$B269))&gt;0, CHAR(34), """") ), """")"),"")</f>
        <v/>
      </c>
      <c r="E269" s="67" t="str">
        <f ca="1">IFERROR(__xludf.DUMMYFUNCTION("IFERROR(IF(SUMPRODUCT(('Σύνοψη'!$F$2:$F289=$A269)*('Σύνοψη'!$C$2:$C289=E$3)*('Σύνοψη'!$G$2:$G289=$B269))&gt;0,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'Σύνοψη'!$C$2:$C289=E$3)), IF(SUMPRODUCT(('Σύνοψη'!$F$2:$F289=$A269)*('Σύνοψη'!$C$2:$C289=E$3)*('Σύνοψη'!$G$2:$G289&lt;$B269)*('Σύνοψη'!$H$2:$H289&gt;$B269))&gt;0, CHAR(34), """") ), """")"),"")</f>
        <v/>
      </c>
      <c r="F269" s="67" t="str">
        <f ca="1">IFERROR(__xludf.DUMMYFUNCTION("IFERROR(IF(SUMPRODUCT(('Σύνοψη'!$F$2:$F289=$A269)*('Σύνοψη'!$C$2:$C289=F$3)*('Σύνοψη'!$G$2:$G289=$B269))&gt;0,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'Σύνοψη'!$C$2:$C289=F$3)), IF(SUMPRODUCT(('Σύνοψη'!$F$2:$F289=$A269)*('Σύνοψη'!$C$2:$C289=F$3)*('Σύνοψη'!$G$2:$G289&lt;$B269)*('Σύνοψη'!$H$2:$H289&gt;$B269))&gt;0, CHAR(34), """") ), """")"),"")</f>
        <v/>
      </c>
      <c r="G269" s="67" t="str">
        <f ca="1">IFERROR(__xludf.DUMMYFUNCTION("IFERROR(IF(SUMPRODUCT(('Σύνοψη'!$F$2:$F289=$A269)*('Σύνοψη'!$C$2:$C289=G$3)*('Σύνοψη'!$G$2:$G289=$B269))&gt;0,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'Σύνοψη'!$C$2:$C289=G$3)), IF(SUMPRODUCT(('Σύνοψη'!$F$2:$F289=$A269)*('Σύνοψη'!$C$2:$C289=G$3)*('Σύνοψη'!$G$2:$G289&lt;$B269)*('Σύνοψη'!$H$2:$H289&gt;$B269))&gt;0, CHAR(34), """") ), """")"),"")</f>
        <v/>
      </c>
      <c r="H269" s="67" t="str">
        <f ca="1">IFERROR(__xludf.DUMMYFUNCTION("IFERROR(IF(SUMPRODUCT(('Σύνοψη'!$F$2:$F289=$A269)*('Σύνοψη'!$C$2:$C289=H$3)*('Σύνοψη'!$G$2:$G289=$B269))&gt;0, TEXTJOIN(CHAR(10) &amp; ""-----------------------"" &amp; CHAR(10), TRUE, FILTER('Σύνοψη'!$E$2:$E289 &amp; "" - "" &amp; 'Σύνοψη'!$I$2:$I289 &amp; "" ("" &amp; 'Σύνοψη'!$J"&amp;"$2:$J289 &amp; "")"", 'Σύνοψη'!$F$2:$F289=$A269, 'Σύνοψη'!$G$2:$G289=$B269, 'Σύνοψη'!$C$2:$C289=H$3)), IF(SUMPRODUCT(('Σύνοψη'!$F$2:$F289=$A269)*('Σύνοψη'!$C$2:$C289=H$3)*('Σύνοψη'!$G$2:$G289&lt;$B269)*('Σύνοψη'!$H$2:$H289&gt;$B269))&gt;0, CHAR(34), """") ), """")"),"")</f>
        <v/>
      </c>
      <c r="I269" s="3"/>
    </row>
    <row r="270" spans="1:9" x14ac:dyDescent="0.25">
      <c r="A270" s="95">
        <f t="shared" si="18"/>
        <v>46289</v>
      </c>
      <c r="B270" s="89">
        <v>0.66666666666666663</v>
      </c>
      <c r="C270" s="67" t="str">
        <f ca="1">IFERROR(__xludf.DUMMYFUNCTION("IFERROR(IF(SUMPRODUCT(('Σύνοψη'!$F$2:$F289=$A270)*('Σύνοψη'!$C$2:$C289=C$3)*('Σύνοψη'!$G$2:$G289=$B270))&gt;0,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'Σύνοψη'!$C$2:$C289=C$3)), IF(SUMPRODUCT(('Σύνοψη'!$F$2:$F289=$A270)*('Σύνοψη'!$C$2:$C289=C$3)*('Σύνοψη'!$G$2:$G289&lt;$B270)*('Σύνοψη'!$H$2:$H289&gt;$B270))&gt;0, CHAR(34), """") ), """")"),"")</f>
        <v/>
      </c>
      <c r="D270" s="67" t="str">
        <f ca="1">IFERROR(__xludf.DUMMYFUNCTION("IFERROR(IF(SUMPRODUCT(('Σύνοψη'!$F$2:$F289=$A270)*('Σύνοψη'!$C$2:$C289=D$3)*('Σύνοψη'!$G$2:$G289=$B270))&gt;0,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'Σύνοψη'!$C$2:$C289=D$3)), IF(SUMPRODUCT(('Σύνοψη'!$F$2:$F289=$A270)*('Σύνοψη'!$C$2:$C289=D$3)*('Σύνοψη'!$G$2:$G289&lt;$B270)*('Σύνοψη'!$H$2:$H289&gt;$B270))&gt;0, CHAR(34), """") ), """")"),"")</f>
        <v/>
      </c>
      <c r="E270" s="67" t="str">
        <f ca="1">IFERROR(__xludf.DUMMYFUNCTION("IFERROR(IF(SUMPRODUCT(('Σύνοψη'!$F$2:$F289=$A270)*('Σύνοψη'!$C$2:$C289=E$3)*('Σύνοψη'!$G$2:$G289=$B270))&gt;0,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'Σύνοψη'!$C$2:$C289=E$3)), IF(SUMPRODUCT(('Σύνοψη'!$F$2:$F289=$A270)*('Σύνοψη'!$C$2:$C289=E$3)*('Σύνοψη'!$G$2:$G289&lt;$B270)*('Σύνοψη'!$H$2:$H289&gt;$B270))&gt;0, CHAR(34), """") ), """")"),"")</f>
        <v/>
      </c>
      <c r="F270" s="67" t="str">
        <f ca="1">IFERROR(__xludf.DUMMYFUNCTION("IFERROR(IF(SUMPRODUCT(('Σύνοψη'!$F$2:$F289=$A270)*('Σύνοψη'!$C$2:$C289=F$3)*('Σύνοψη'!$G$2:$G289=$B270))&gt;0,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'Σύνοψη'!$C$2:$C289=F$3)), IF(SUMPRODUCT(('Σύνοψη'!$F$2:$F289=$A270)*('Σύνοψη'!$C$2:$C289=F$3)*('Σύνοψη'!$G$2:$G289&lt;$B270)*('Σύνοψη'!$H$2:$H289&gt;$B270))&gt;0, CHAR(34), """") ), """")"),"")</f>
        <v/>
      </c>
      <c r="G270" s="67" t="str">
        <f ca="1">IFERROR(__xludf.DUMMYFUNCTION("IFERROR(IF(SUMPRODUCT(('Σύνοψη'!$F$2:$F289=$A270)*('Σύνοψη'!$C$2:$C289=G$3)*('Σύνοψη'!$G$2:$G289=$B270))&gt;0,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'Σύνοψη'!$C$2:$C289=G$3)), IF(SUMPRODUCT(('Σύνοψη'!$F$2:$F289=$A270)*('Σύνοψη'!$C$2:$C289=G$3)*('Σύνοψη'!$G$2:$G289&lt;$B270)*('Σύνοψη'!$H$2:$H289&gt;$B270))&gt;0, CHAR(34), """") ), """")"),"")</f>
        <v/>
      </c>
      <c r="H270" s="67" t="str">
        <f ca="1">IFERROR(__xludf.DUMMYFUNCTION("IFERROR(IF(SUMPRODUCT(('Σύνοψη'!$F$2:$F289=$A270)*('Σύνοψη'!$C$2:$C289=H$3)*('Σύνοψη'!$G$2:$G289=$B270))&gt;0, TEXTJOIN(CHAR(10) &amp; ""-----------------------"" &amp; CHAR(10), TRUE, FILTER('Σύνοψη'!$E$2:$E289 &amp; "" - "" &amp; 'Σύνοψη'!$I$2:$I289 &amp; "" ("" &amp; 'Σύνοψη'!$J"&amp;"$2:$J289 &amp; "")"", 'Σύνοψη'!$F$2:$F289=$A270, 'Σύνοψη'!$G$2:$G289=$B270, 'Σύνοψη'!$C$2:$C289=H$3)), IF(SUMPRODUCT(('Σύνοψη'!$F$2:$F289=$A270)*('Σύνοψη'!$C$2:$C289=H$3)*('Σύνοψη'!$G$2:$G289&lt;$B270)*('Σύνοψη'!$H$2:$H289&gt;$B270))&gt;0, CHAR(34), """") ), """")"),"")</f>
        <v/>
      </c>
      <c r="I270" s="3"/>
    </row>
    <row r="271" spans="1:9" x14ac:dyDescent="0.25">
      <c r="A271" s="95">
        <f t="shared" si="18"/>
        <v>46289</v>
      </c>
      <c r="B271" s="89">
        <v>0.70833333333333337</v>
      </c>
      <c r="C271" s="67" t="str">
        <f ca="1">IFERROR(__xludf.DUMMYFUNCTION("IFERROR(IF(SUMPRODUCT(('Σύνοψη'!$F$2:$F289=$A271)*('Σύνοψη'!$C$2:$C289=C$3)*('Σύνοψη'!$G$2:$G289=$B271))&gt;0,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'Σύνοψη'!$C$2:$C289=C$3)), IF(SUMPRODUCT(('Σύνοψη'!$F$2:$F289=$A271)*('Σύνοψη'!$C$2:$C289=C$3)*('Σύνοψη'!$G$2:$G289&lt;$B271)*('Σύνοψη'!$H$2:$H289&gt;$B271))&gt;0, CHAR(34), """") ), """")"),"")</f>
        <v/>
      </c>
      <c r="D271" s="67" t="str">
        <f ca="1">IFERROR(__xludf.DUMMYFUNCTION("IFERROR(IF(SUMPRODUCT(('Σύνοψη'!$F$2:$F289=$A271)*('Σύνοψη'!$C$2:$C289=D$3)*('Σύνοψη'!$G$2:$G289=$B271))&gt;0,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'Σύνοψη'!$C$2:$C289=D$3)), IF(SUMPRODUCT(('Σύνοψη'!$F$2:$F289=$A271)*('Σύνοψη'!$C$2:$C289=D$3)*('Σύνοψη'!$G$2:$G289&lt;$B271)*('Σύνοψη'!$H$2:$H289&gt;$B271))&gt;0, CHAR(34), """") ), """")"),"")</f>
        <v/>
      </c>
      <c r="E271" s="67" t="str">
        <f ca="1">IFERROR(__xludf.DUMMYFUNCTION("IFERROR(IF(SUMPRODUCT(('Σύνοψη'!$F$2:$F289=$A271)*('Σύνοψη'!$C$2:$C289=E$3)*('Σύνοψη'!$G$2:$G289=$B271))&gt;0,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'Σύνοψη'!$C$2:$C289=E$3)), IF(SUMPRODUCT(('Σύνοψη'!$F$2:$F289=$A271)*('Σύνοψη'!$C$2:$C289=E$3)*('Σύνοψη'!$G$2:$G289&lt;$B271)*('Σύνοψη'!$H$2:$H289&gt;$B271))&gt;0, CHAR(34), """") ), """")"),"")</f>
        <v/>
      </c>
      <c r="F271" s="67" t="str">
        <f ca="1">IFERROR(__xludf.DUMMYFUNCTION("IFERROR(IF(SUMPRODUCT(('Σύνοψη'!$F$2:$F289=$A271)*('Σύνοψη'!$C$2:$C289=F$3)*('Σύνοψη'!$G$2:$G289=$B271))&gt;0,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'Σύνοψη'!$C$2:$C289=F$3)), IF(SUMPRODUCT(('Σύνοψη'!$F$2:$F289=$A271)*('Σύνοψη'!$C$2:$C289=F$3)*('Σύνοψη'!$G$2:$G289&lt;$B271)*('Σύνοψη'!$H$2:$H289&gt;$B271))&gt;0, CHAR(34), """") ), """")"),"")</f>
        <v/>
      </c>
      <c r="G271" s="67" t="str">
        <f ca="1">IFERROR(__xludf.DUMMYFUNCTION("IFERROR(IF(SUMPRODUCT(('Σύνοψη'!$F$2:$F289=$A271)*('Σύνοψη'!$C$2:$C289=G$3)*('Σύνοψη'!$G$2:$G289=$B271))&gt;0,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'Σύνοψη'!$C$2:$C289=G$3)), IF(SUMPRODUCT(('Σύνοψη'!$F$2:$F289=$A271)*('Σύνοψη'!$C$2:$C289=G$3)*('Σύνοψη'!$G$2:$G289&lt;$B271)*('Σύνοψη'!$H$2:$H289&gt;$B271))&gt;0, CHAR(34), """") ), """")"),"")</f>
        <v/>
      </c>
      <c r="H271" s="67" t="str">
        <f ca="1">IFERROR(__xludf.DUMMYFUNCTION("IFERROR(IF(SUMPRODUCT(('Σύνοψη'!$F$2:$F289=$A271)*('Σύνοψη'!$C$2:$C289=H$3)*('Σύνοψη'!$G$2:$G289=$B271))&gt;0, TEXTJOIN(CHAR(10) &amp; ""-----------------------"" &amp; CHAR(10), TRUE, FILTER('Σύνοψη'!$E$2:$E289 &amp; "" - "" &amp; 'Σύνοψη'!$I$2:$I289 &amp; "" ("" &amp; 'Σύνοψη'!$J"&amp;"$2:$J289 &amp; "")"", 'Σύνοψη'!$F$2:$F289=$A271, 'Σύνοψη'!$G$2:$G289=$B271, 'Σύνοψη'!$C$2:$C289=H$3)), IF(SUMPRODUCT(('Σύνοψη'!$F$2:$F289=$A271)*('Σύνοψη'!$C$2:$C289=H$3)*('Σύνοψη'!$G$2:$G289&lt;$B271)*('Σύνοψη'!$H$2:$H289&gt;$B271))&gt;0, CHAR(34), """") ), """")"),"")</f>
        <v/>
      </c>
      <c r="I271" s="3"/>
    </row>
    <row r="272" spans="1:9" x14ac:dyDescent="0.25">
      <c r="A272" s="95">
        <f t="shared" si="18"/>
        <v>46289</v>
      </c>
      <c r="B272" s="89">
        <v>0.75</v>
      </c>
      <c r="C272" s="67" t="str">
        <f ca="1">IFERROR(__xludf.DUMMYFUNCTION("IFERROR(IF(SUMPRODUCT(('Σύνοψη'!$F$2:$F289=$A272)*('Σύνοψη'!$C$2:$C289=C$3)*('Σύνοψη'!$G$2:$G289=$B272))&gt;0,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'Σύνοψη'!$C$2:$C289=C$3)), IF(SUMPRODUCT(('Σύνοψη'!$F$2:$F289=$A272)*('Σύνοψη'!$C$2:$C289=C$3)*('Σύνοψη'!$G$2:$G289&lt;$B272)*('Σύνοψη'!$H$2:$H289&gt;$B272))&gt;0, CHAR(34), """") ), """")"),"")</f>
        <v/>
      </c>
      <c r="D272" s="67" t="str">
        <f ca="1">IFERROR(__xludf.DUMMYFUNCTION("IFERROR(IF(SUMPRODUCT(('Σύνοψη'!$F$2:$F289=$A272)*('Σύνοψη'!$C$2:$C289=D$3)*('Σύνοψη'!$G$2:$G289=$B272))&gt;0,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'Σύνοψη'!$C$2:$C289=D$3)), IF(SUMPRODUCT(('Σύνοψη'!$F$2:$F289=$A272)*('Σύνοψη'!$C$2:$C289=D$3)*('Σύνοψη'!$G$2:$G289&lt;$B272)*('Σύνοψη'!$H$2:$H289&gt;$B272))&gt;0, CHAR(34), """") ), """")"),"")</f>
        <v/>
      </c>
      <c r="E272" s="67" t="str">
        <f ca="1">IFERROR(__xludf.DUMMYFUNCTION("IFERROR(IF(SUMPRODUCT(('Σύνοψη'!$F$2:$F289=$A272)*('Σύνοψη'!$C$2:$C289=E$3)*('Σύνοψη'!$G$2:$G289=$B272))&gt;0,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'Σύνοψη'!$C$2:$C289=E$3)), IF(SUMPRODUCT(('Σύνοψη'!$F$2:$F289=$A272)*('Σύνοψη'!$C$2:$C289=E$3)*('Σύνοψη'!$G$2:$G289&lt;$B272)*('Σύνοψη'!$H$2:$H289&gt;$B272))&gt;0, CHAR(34), """") ), """")"),"")</f>
        <v/>
      </c>
      <c r="F272" s="67" t="str">
        <f ca="1">IFERROR(__xludf.DUMMYFUNCTION("IFERROR(IF(SUMPRODUCT(('Σύνοψη'!$F$2:$F289=$A272)*('Σύνοψη'!$C$2:$C289=F$3)*('Σύνοψη'!$G$2:$G289=$B272))&gt;0,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'Σύνοψη'!$C$2:$C289=F$3)), IF(SUMPRODUCT(('Σύνοψη'!$F$2:$F289=$A272)*('Σύνοψη'!$C$2:$C289=F$3)*('Σύνοψη'!$G$2:$G289&lt;$B272)*('Σύνοψη'!$H$2:$H289&gt;$B272))&gt;0, CHAR(34), """") ), """")"),"")</f>
        <v/>
      </c>
      <c r="G272" s="67" t="str">
        <f ca="1">IFERROR(__xludf.DUMMYFUNCTION("IFERROR(IF(SUMPRODUCT(('Σύνοψη'!$F$2:$F289=$A272)*('Σύνοψη'!$C$2:$C289=G$3)*('Σύνοψη'!$G$2:$G289=$B272))&gt;0,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'Σύνοψη'!$C$2:$C289=G$3)), IF(SUMPRODUCT(('Σύνοψη'!$F$2:$F289=$A272)*('Σύνοψη'!$C$2:$C289=G$3)*('Σύνοψη'!$G$2:$G289&lt;$B272)*('Σύνοψη'!$H$2:$H289&gt;$B272))&gt;0, CHAR(34), """") ), """")"),"")</f>
        <v/>
      </c>
      <c r="H272" s="67" t="str">
        <f ca="1">IFERROR(__xludf.DUMMYFUNCTION("IFERROR(IF(SUMPRODUCT(('Σύνοψη'!$F$2:$F289=$A272)*('Σύνοψη'!$C$2:$C289=H$3)*('Σύνοψη'!$G$2:$G289=$B272))&gt;0, TEXTJOIN(CHAR(10) &amp; ""-----------------------"" &amp; CHAR(10), TRUE, FILTER('Σύνοψη'!$E$2:$E289 &amp; "" - "" &amp; 'Σύνοψη'!$I$2:$I289 &amp; "" ("" &amp; 'Σύνοψη'!$J"&amp;"$2:$J289 &amp; "")"", 'Σύνοψη'!$F$2:$F289=$A272, 'Σύνοψη'!$G$2:$G289=$B272, 'Σύνοψη'!$C$2:$C289=H$3)), IF(SUMPRODUCT(('Σύνοψη'!$F$2:$F289=$A272)*('Σύνοψη'!$C$2:$C289=H$3)*('Σύνοψη'!$G$2:$G289&lt;$B272)*('Σύνοψη'!$H$2:$H289&gt;$B272))&gt;0, CHAR(34), """") ), """")"),"")</f>
        <v/>
      </c>
      <c r="I272" s="3"/>
    </row>
    <row r="273" spans="1:9" x14ac:dyDescent="0.25">
      <c r="A273" s="95">
        <f t="shared" si="18"/>
        <v>46289</v>
      </c>
      <c r="B273" s="89">
        <v>0.79166666666666663</v>
      </c>
      <c r="C273" s="67" t="str">
        <f ca="1">IFERROR(__xludf.DUMMYFUNCTION("IFERROR(IF(SUMPRODUCT(('Σύνοψη'!$F$2:$F289=$A273)*('Σύνοψη'!$C$2:$C289=C$3)*('Σύνοψη'!$G$2:$G289=$B273))&gt;0,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'Σύνοψη'!$C$2:$C289=C$3)), IF(SUMPRODUCT(('Σύνοψη'!$F$2:$F289=$A273)*('Σύνοψη'!$C$2:$C289=C$3)*('Σύνοψη'!$G$2:$G289&lt;$B273)*('Σύνοψη'!$H$2:$H289&gt;$B273))&gt;0, CHAR(34), """") ), """")"),"")</f>
        <v/>
      </c>
      <c r="D273" s="67" t="str">
        <f ca="1">IFERROR(__xludf.DUMMYFUNCTION("IFERROR(IF(SUMPRODUCT(('Σύνοψη'!$F$2:$F289=$A273)*('Σύνοψη'!$C$2:$C289=D$3)*('Σύνοψη'!$G$2:$G289=$B273))&gt;0,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'Σύνοψη'!$C$2:$C289=D$3)), IF(SUMPRODUCT(('Σύνοψη'!$F$2:$F289=$A273)*('Σύνοψη'!$C$2:$C289=D$3)*('Σύνοψη'!$G$2:$G289&lt;$B273)*('Σύνοψη'!$H$2:$H289&gt;$B273))&gt;0, CHAR(34), """") ), """")"),"")</f>
        <v/>
      </c>
      <c r="E273" s="67" t="str">
        <f ca="1">IFERROR(__xludf.DUMMYFUNCTION("IFERROR(IF(SUMPRODUCT(('Σύνοψη'!$F$2:$F289=$A273)*('Σύνοψη'!$C$2:$C289=E$3)*('Σύνοψη'!$G$2:$G289=$B273))&gt;0,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'Σύνοψη'!$C$2:$C289=E$3)), IF(SUMPRODUCT(('Σύνοψη'!$F$2:$F289=$A273)*('Σύνοψη'!$C$2:$C289=E$3)*('Σύνοψη'!$G$2:$G289&lt;$B273)*('Σύνοψη'!$H$2:$H289&gt;$B273))&gt;0, CHAR(34), """") ), """")"),"")</f>
        <v/>
      </c>
      <c r="F273" s="67" t="str">
        <f ca="1">IFERROR(__xludf.DUMMYFUNCTION("IFERROR(IF(SUMPRODUCT(('Σύνοψη'!$F$2:$F289=$A273)*('Σύνοψη'!$C$2:$C289=F$3)*('Σύνοψη'!$G$2:$G289=$B273))&gt;0,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'Σύνοψη'!$C$2:$C289=F$3)), IF(SUMPRODUCT(('Σύνοψη'!$F$2:$F289=$A273)*('Σύνοψη'!$C$2:$C289=F$3)*('Σύνοψη'!$G$2:$G289&lt;$B273)*('Σύνοψη'!$H$2:$H289&gt;$B273))&gt;0, CHAR(34), """") ), """")"),"")</f>
        <v/>
      </c>
      <c r="G273" s="67" t="str">
        <f ca="1">IFERROR(__xludf.DUMMYFUNCTION("IFERROR(IF(SUMPRODUCT(('Σύνοψη'!$F$2:$F289=$A273)*('Σύνοψη'!$C$2:$C289=G$3)*('Σύνοψη'!$G$2:$G289=$B273))&gt;0,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'Σύνοψη'!$C$2:$C289=G$3)), IF(SUMPRODUCT(('Σύνοψη'!$F$2:$F289=$A273)*('Σύνοψη'!$C$2:$C289=G$3)*('Σύνοψη'!$G$2:$G289&lt;$B273)*('Σύνοψη'!$H$2:$H289&gt;$B273))&gt;0, CHAR(34), """") ), """")"),"")</f>
        <v/>
      </c>
      <c r="H273" s="67" t="str">
        <f ca="1">IFERROR(__xludf.DUMMYFUNCTION("IFERROR(IF(SUMPRODUCT(('Σύνοψη'!$F$2:$F289=$A273)*('Σύνοψη'!$C$2:$C289=H$3)*('Σύνοψη'!$G$2:$G289=$B273))&gt;0, TEXTJOIN(CHAR(10) &amp; ""-----------------------"" &amp; CHAR(10), TRUE, FILTER('Σύνοψη'!$E$2:$E289 &amp; "" - "" &amp; 'Σύνοψη'!$I$2:$I289 &amp; "" ("" &amp; 'Σύνοψη'!$J"&amp;"$2:$J289 &amp; "")"", 'Σύνοψη'!$F$2:$F289=$A273, 'Σύνοψη'!$G$2:$G289=$B273, 'Σύνοψη'!$C$2:$C289=H$3)), IF(SUMPRODUCT(('Σύνοψη'!$F$2:$F289=$A273)*('Σύνοψη'!$C$2:$C289=H$3)*('Σύνοψη'!$G$2:$G289&lt;$B273)*('Σύνοψη'!$H$2:$H289&gt;$B273))&gt;0, CHAR(34), """") ), """")"),"")</f>
        <v/>
      </c>
      <c r="I273" s="3"/>
    </row>
    <row r="274" spans="1:9" x14ac:dyDescent="0.25">
      <c r="A274" s="95">
        <f t="shared" si="18"/>
        <v>46289</v>
      </c>
      <c r="B274" s="89">
        <v>0.83333333333333337</v>
      </c>
      <c r="C274" s="67" t="str">
        <f ca="1">IFERROR(__xludf.DUMMYFUNCTION("IFERROR(IF(SUMPRODUCT(('Σύνοψη'!$F$2:$F289=$A274)*('Σύνοψη'!$C$2:$C289=C$3)*('Σύνοψη'!$G$2:$G289=$B274))&gt;0,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'Σύνοψη'!$C$2:$C289=C$3)), IF(SUMPRODUCT(('Σύνοψη'!$F$2:$F289=$A274)*('Σύνοψη'!$C$2:$C289=C$3)*('Σύνοψη'!$G$2:$G289&lt;$B274)*('Σύνοψη'!$H$2:$H289&gt;$B274))&gt;0, CHAR(34), """") ), """")"),"")</f>
        <v/>
      </c>
      <c r="D274" s="67" t="str">
        <f ca="1">IFERROR(__xludf.DUMMYFUNCTION("IFERROR(IF(SUMPRODUCT(('Σύνοψη'!$F$2:$F289=$A274)*('Σύνοψη'!$C$2:$C289=D$3)*('Σύνοψη'!$G$2:$G289=$B274))&gt;0,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'Σύνοψη'!$C$2:$C289=D$3)), IF(SUMPRODUCT(('Σύνοψη'!$F$2:$F289=$A274)*('Σύνοψη'!$C$2:$C289=D$3)*('Σύνοψη'!$G$2:$G289&lt;$B274)*('Σύνοψη'!$H$2:$H289&gt;$B274))&gt;0, CHAR(34), """") ), """")"),"")</f>
        <v/>
      </c>
      <c r="E274" s="67" t="str">
        <f ca="1">IFERROR(__xludf.DUMMYFUNCTION("IFERROR(IF(SUMPRODUCT(('Σύνοψη'!$F$2:$F289=$A274)*('Σύνοψη'!$C$2:$C289=E$3)*('Σύνοψη'!$G$2:$G289=$B274))&gt;0,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'Σύνοψη'!$C$2:$C289=E$3)), IF(SUMPRODUCT(('Σύνοψη'!$F$2:$F289=$A274)*('Σύνοψη'!$C$2:$C289=E$3)*('Σύνοψη'!$G$2:$G289&lt;$B274)*('Σύνοψη'!$H$2:$H289&gt;$B274))&gt;0, CHAR(34), """") ), """")"),"")</f>
        <v/>
      </c>
      <c r="F274" s="67" t="str">
        <f ca="1">IFERROR(__xludf.DUMMYFUNCTION("IFERROR(IF(SUMPRODUCT(('Σύνοψη'!$F$2:$F289=$A274)*('Σύνοψη'!$C$2:$C289=F$3)*('Σύνοψη'!$G$2:$G289=$B274))&gt;0,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'Σύνοψη'!$C$2:$C289=F$3)), IF(SUMPRODUCT(('Σύνοψη'!$F$2:$F289=$A274)*('Σύνοψη'!$C$2:$C289=F$3)*('Σύνοψη'!$G$2:$G289&lt;$B274)*('Σύνοψη'!$H$2:$H289&gt;$B274))&gt;0, CHAR(34), """") ), """")"),"")</f>
        <v/>
      </c>
      <c r="G274" s="67" t="str">
        <f ca="1">IFERROR(__xludf.DUMMYFUNCTION("IFERROR(IF(SUMPRODUCT(('Σύνοψη'!$F$2:$F289=$A274)*('Σύνοψη'!$C$2:$C289=G$3)*('Σύνοψη'!$G$2:$G289=$B274))&gt;0,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'Σύνοψη'!$C$2:$C289=G$3)), IF(SUMPRODUCT(('Σύνοψη'!$F$2:$F289=$A274)*('Σύνοψη'!$C$2:$C289=G$3)*('Σύνοψη'!$G$2:$G289&lt;$B274)*('Σύνοψη'!$H$2:$H289&gt;$B274))&gt;0, CHAR(34), """") ), """")"),"")</f>
        <v/>
      </c>
      <c r="H274" s="67" t="str">
        <f ca="1">IFERROR(__xludf.DUMMYFUNCTION("IFERROR(IF(SUMPRODUCT(('Σύνοψη'!$F$2:$F289=$A274)*('Σύνοψη'!$C$2:$C289=H$3)*('Σύνοψη'!$G$2:$G289=$B274))&gt;0, TEXTJOIN(CHAR(10) &amp; ""-----------------------"" &amp; CHAR(10), TRUE, FILTER('Σύνοψη'!$E$2:$E289 &amp; "" - "" &amp; 'Σύνοψη'!$I$2:$I289 &amp; "" ("" &amp; 'Σύνοψη'!$J"&amp;"$2:$J289 &amp; "")"", 'Σύνοψη'!$F$2:$F289=$A274, 'Σύνοψη'!$G$2:$G289=$B274, 'Σύνοψη'!$C$2:$C289=H$3)), IF(SUMPRODUCT(('Σύνοψη'!$F$2:$F289=$A274)*('Σύνοψη'!$C$2:$C289=H$3)*('Σύνοψη'!$G$2:$G289&lt;$B274)*('Σύνοψη'!$H$2:$H289&gt;$B274))&gt;0, CHAR(34), """") ), """")"),"")</f>
        <v/>
      </c>
      <c r="I274" s="3"/>
    </row>
    <row r="275" spans="1:9" x14ac:dyDescent="0.25">
      <c r="A275" s="96">
        <f t="shared" si="18"/>
        <v>46289</v>
      </c>
      <c r="B275" s="97">
        <v>0.875</v>
      </c>
      <c r="C275" s="67" t="str">
        <f ca="1">IFERROR(__xludf.DUMMYFUNCTION("IFERROR(IF(SUMPRODUCT(('Σύνοψη'!$F$2:$F289=$A275)*('Σύνοψη'!$C$2:$C289=C$3)*('Σύνοψη'!$G$2:$G289=$B275))&gt;0,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'Σύνοψη'!$C$2:$C289=C$3)), IF(SUMPRODUCT(('Σύνοψη'!$F$2:$F289=$A275)*('Σύνοψη'!$C$2:$C289=C$3)*('Σύνοψη'!$G$2:$G289&lt;$B275)*('Σύνοψη'!$H$2:$H289&gt;$B275))&gt;0, CHAR(34), """") ), """")"),"")</f>
        <v/>
      </c>
      <c r="D275" s="67" t="str">
        <f ca="1">IFERROR(__xludf.DUMMYFUNCTION("IFERROR(IF(SUMPRODUCT(('Σύνοψη'!$F$2:$F289=$A275)*('Σύνοψη'!$C$2:$C289=D$3)*('Σύνοψη'!$G$2:$G289=$B275))&gt;0,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'Σύνοψη'!$C$2:$C289=D$3)), IF(SUMPRODUCT(('Σύνοψη'!$F$2:$F289=$A275)*('Σύνοψη'!$C$2:$C289=D$3)*('Σύνοψη'!$G$2:$G289&lt;$B275)*('Σύνοψη'!$H$2:$H289&gt;$B275))&gt;0, CHAR(34), """") ), """")"),"")</f>
        <v/>
      </c>
      <c r="E275" s="67" t="str">
        <f ca="1">IFERROR(__xludf.DUMMYFUNCTION("IFERROR(IF(SUMPRODUCT(('Σύνοψη'!$F$2:$F289=$A275)*('Σύνοψη'!$C$2:$C289=E$3)*('Σύνοψη'!$G$2:$G289=$B275))&gt;0,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'Σύνοψη'!$C$2:$C289=E$3)), IF(SUMPRODUCT(('Σύνοψη'!$F$2:$F289=$A275)*('Σύνοψη'!$C$2:$C289=E$3)*('Σύνοψη'!$G$2:$G289&lt;$B275)*('Σύνοψη'!$H$2:$H289&gt;$B275))&gt;0, CHAR(34), """") ), """")"),"")</f>
        <v/>
      </c>
      <c r="F275" s="67" t="str">
        <f ca="1">IFERROR(__xludf.DUMMYFUNCTION("IFERROR(IF(SUMPRODUCT(('Σύνοψη'!$F$2:$F289=$A275)*('Σύνοψη'!$C$2:$C289=F$3)*('Σύνοψη'!$G$2:$G289=$B275))&gt;0,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'Σύνοψη'!$C$2:$C289=F$3)), IF(SUMPRODUCT(('Σύνοψη'!$F$2:$F289=$A275)*('Σύνοψη'!$C$2:$C289=F$3)*('Σύνοψη'!$G$2:$G289&lt;$B275)*('Σύνοψη'!$H$2:$H289&gt;$B275))&gt;0, CHAR(34), """") ), """")"),"")</f>
        <v/>
      </c>
      <c r="G275" s="67" t="str">
        <f ca="1">IFERROR(__xludf.DUMMYFUNCTION("IFERROR(IF(SUMPRODUCT(('Σύνοψη'!$F$2:$F289=$A275)*('Σύνοψη'!$C$2:$C289=G$3)*('Σύνοψη'!$G$2:$G289=$B275))&gt;0,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'Σύνοψη'!$C$2:$C289=G$3)), IF(SUMPRODUCT(('Σύνοψη'!$F$2:$F289=$A275)*('Σύνοψη'!$C$2:$C289=G$3)*('Σύνοψη'!$G$2:$G289&lt;$B275)*('Σύνοψη'!$H$2:$H289&gt;$B275))&gt;0, CHAR(34), """") ), """")"),"")</f>
        <v/>
      </c>
      <c r="H275" s="67" t="str">
        <f ca="1">IFERROR(__xludf.DUMMYFUNCTION("IFERROR(IF(SUMPRODUCT(('Σύνοψη'!$F$2:$F289=$A275)*('Σύνοψη'!$C$2:$C289=H$3)*('Σύνοψη'!$G$2:$G289=$B275))&gt;0, TEXTJOIN(CHAR(10) &amp; ""-----------------------"" &amp; CHAR(10), TRUE, FILTER('Σύνοψη'!$E$2:$E289 &amp; "" - "" &amp; 'Σύνοψη'!$I$2:$I289 &amp; "" ("" &amp; 'Σύνοψη'!$J"&amp;"$2:$J289 &amp; "")"", 'Σύνοψη'!$F$2:$F289=$A275, 'Σύνοψη'!$G$2:$G289=$B275, 'Σύνοψη'!$C$2:$C289=H$3)), IF(SUMPRODUCT(('Σύνοψη'!$F$2:$F289=$A275)*('Σύνοψη'!$C$2:$C289=H$3)*('Σύνοψη'!$G$2:$G289&lt;$B275)*('Σύνοψη'!$H$2:$H289&gt;$B275))&gt;0, CHAR(34), """") ), """")"),"")</f>
        <v/>
      </c>
      <c r="I275" s="3"/>
    </row>
    <row r="276" spans="1:9" x14ac:dyDescent="0.25">
      <c r="A276" s="92">
        <f>$D$1+25</f>
        <v>46290</v>
      </c>
      <c r="B276" s="89">
        <v>0.33333333333333331</v>
      </c>
      <c r="C276" s="66" t="str">
        <f ca="1">IFERROR(__xludf.DUMMYFUNCTION("IFERROR(IF(SUMPRODUCT(('Σύνοψη'!$F$2:$F289=$A276)*('Σύνοψη'!$C$2:$C289=C$3)*('Σύνοψη'!$G$2:$G289=$B276))&gt;0,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'Σύνοψη'!$C$2:$C289=C$3)), IF(SUMPRODUCT(('Σύνοψη'!$F$2:$F289=$A276)*('Σύνοψη'!$C$2:$C289=C$3)*('Σύνοψη'!$G$2:$G289&lt;$B276)*('Σύνοψη'!$H$2:$H289&gt;$B276))&gt;0, CHAR(34), """") ), """")"),"")</f>
        <v/>
      </c>
      <c r="D276" s="66" t="str">
        <f ca="1">IFERROR(__xludf.DUMMYFUNCTION("IFERROR(IF(SUMPRODUCT(('Σύνοψη'!$F$2:$F289=$A276)*('Σύνοψη'!$C$2:$C289=D$3)*('Σύνοψη'!$G$2:$G289=$B276))&gt;0,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'Σύνοψη'!$C$2:$C289=D$3)), IF(SUMPRODUCT(('Σύνοψη'!$F$2:$F289=$A276)*('Σύνοψη'!$C$2:$C289=D$3)*('Σύνοψη'!$G$2:$G289&lt;$B276)*('Σύνοψη'!$H$2:$H289&gt;$B276))&gt;0, CHAR(34), """") ), """")"),"")</f>
        <v/>
      </c>
      <c r="E276" s="66" t="str">
        <f ca="1">IFERROR(__xludf.DUMMYFUNCTION("IFERROR(IF(SUMPRODUCT(('Σύνοψη'!$F$2:$F289=$A276)*('Σύνοψη'!$C$2:$C289=E$3)*('Σύνοψη'!$G$2:$G289=$B276))&gt;0,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'Σύνοψη'!$C$2:$C289=E$3)), IF(SUMPRODUCT(('Σύνοψη'!$F$2:$F289=$A276)*('Σύνοψη'!$C$2:$C289=E$3)*('Σύνοψη'!$G$2:$G289&lt;$B276)*('Σύνοψη'!$H$2:$H289&gt;$B276))&gt;0, CHAR(34), """") ), """")"),"")</f>
        <v/>
      </c>
      <c r="F276" s="66" t="str">
        <f ca="1">IFERROR(__xludf.DUMMYFUNCTION("IFERROR(IF(SUMPRODUCT(('Σύνοψη'!$F$2:$F289=$A276)*('Σύνοψη'!$C$2:$C289=F$3)*('Σύνοψη'!$G$2:$G289=$B276))&gt;0,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'Σύνοψη'!$C$2:$C289=F$3)), IF(SUMPRODUCT(('Σύνοψη'!$F$2:$F289=$A276)*('Σύνοψη'!$C$2:$C289=F$3)*('Σύνοψη'!$G$2:$G289&lt;$B276)*('Σύνοψη'!$H$2:$H289&gt;$B276))&gt;0, CHAR(34), """") ), """")"),"")</f>
        <v/>
      </c>
      <c r="G276" s="66" t="str">
        <f ca="1">IFERROR(__xludf.DUMMYFUNCTION("IFERROR(IF(SUMPRODUCT(('Σύνοψη'!$F$2:$F289=$A276)*('Σύνοψη'!$C$2:$C289=G$3)*('Σύνοψη'!$G$2:$G289=$B276))&gt;0,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'Σύνοψη'!$C$2:$C289=G$3)), IF(SUMPRODUCT(('Σύνοψη'!$F$2:$F289=$A276)*('Σύνοψη'!$C$2:$C289=G$3)*('Σύνοψη'!$G$2:$G289&lt;$B276)*('Σύνοψη'!$H$2:$H289&gt;$B276))&gt;0, CHAR(34), """") ), """")"),"")</f>
        <v/>
      </c>
      <c r="H276" s="66" t="str">
        <f ca="1">IFERROR(__xludf.DUMMYFUNCTION("IFERROR(IF(SUMPRODUCT(('Σύνοψη'!$F$2:$F289=$A276)*('Σύνοψη'!$C$2:$C289=H$3)*('Σύνοψη'!$G$2:$G289=$B276))&gt;0, TEXTJOIN(CHAR(10) &amp; ""-----------------------"" &amp; CHAR(10), TRUE, FILTER('Σύνοψη'!$E$2:$E289 &amp; "" - "" &amp; 'Σύνοψη'!$I$2:$I289 &amp; "" ("" &amp; 'Σύνοψη'!$J"&amp;"$2:$J289 &amp; "")"", 'Σύνοψη'!$F$2:$F289=$A276, 'Σύνοψη'!$G$2:$G289=$B276, 'Σύνοψη'!$C$2:$C289=H$3)), IF(SUMPRODUCT(('Σύνοψη'!$F$2:$F289=$A276)*('Σύνοψη'!$C$2:$C289=H$3)*('Σύνοψη'!$G$2:$G289&lt;$B276)*('Σύνοψη'!$H$2:$H289&gt;$B276))&gt;0, CHAR(34), """") ), """")"),"")</f>
        <v/>
      </c>
      <c r="I276" s="3"/>
    </row>
    <row r="277" spans="1:9" x14ac:dyDescent="0.25">
      <c r="A277" s="95">
        <f t="shared" ref="A277:A288" si="19">$A$276</f>
        <v>46290</v>
      </c>
      <c r="B277" s="89">
        <v>0.375</v>
      </c>
      <c r="C277" s="67" t="str">
        <f ca="1">IFERROR(__xludf.DUMMYFUNCTION("IFERROR(IF(SUMPRODUCT(('Σύνοψη'!$F$2:$F289=$A277)*('Σύνοψη'!$C$2:$C289=C$3)*('Σύνοψη'!$G$2:$G289=$B277))&gt;0,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'Σύνοψη'!$C$2:$C289=C$3)), IF(SUMPRODUCT(('Σύνοψη'!$F$2:$F289=$A277)*('Σύνοψη'!$C$2:$C289=C$3)*('Σύνοψη'!$G$2:$G289&lt;$B277)*('Σύνοψη'!$H$2:$H289&gt;$B277))&gt;0, CHAR(34), """") ), """")"),"")</f>
        <v/>
      </c>
      <c r="D277" s="67" t="str">
        <f ca="1">IFERROR(__xludf.DUMMYFUNCTION("IFERROR(IF(SUMPRODUCT(('Σύνοψη'!$F$2:$F289=$A277)*('Σύνοψη'!$C$2:$C289=D$3)*('Σύνοψη'!$G$2:$G289=$B277))&gt;0,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'Σύνοψη'!$C$2:$C289=D$3)), IF(SUMPRODUCT(('Σύνοψη'!$F$2:$F289=$A277)*('Σύνοψη'!$C$2:$C289=D$3)*('Σύνοψη'!$G$2:$G289&lt;$B277)*('Σύνοψη'!$H$2:$H289&gt;$B277))&gt;0, CHAR(34), """") ), """")"),"")</f>
        <v/>
      </c>
      <c r="E277" s="67" t="str">
        <f ca="1">IFERROR(__xludf.DUMMYFUNCTION("IFERROR(IF(SUMPRODUCT(('Σύνοψη'!$F$2:$F289=$A277)*('Σύνοψη'!$C$2:$C289=E$3)*('Σύνοψη'!$G$2:$G289=$B277))&gt;0,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'Σύνοψη'!$C$2:$C289=E$3)), IF(SUMPRODUCT(('Σύνοψη'!$F$2:$F289=$A277)*('Σύνοψη'!$C$2:$C289=E$3)*('Σύνοψη'!$G$2:$G289&lt;$B277)*('Σύνοψη'!$H$2:$H289&gt;$B277))&gt;0, CHAR(34), """") ), """")"),"")</f>
        <v/>
      </c>
      <c r="F277" s="67" t="str">
        <f ca="1">IFERROR(__xludf.DUMMYFUNCTION("IFERROR(IF(SUMPRODUCT(('Σύνοψη'!$F$2:$F289=$A277)*('Σύνοψη'!$C$2:$C289=F$3)*('Σύνοψη'!$G$2:$G289=$B277))&gt;0,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'Σύνοψη'!$C$2:$C289=F$3)), IF(SUMPRODUCT(('Σύνοψη'!$F$2:$F289=$A277)*('Σύνοψη'!$C$2:$C289=F$3)*('Σύνοψη'!$G$2:$G289&lt;$B277)*('Σύνοψη'!$H$2:$H289&gt;$B277))&gt;0, CHAR(34), """") ), """")"),"")</f>
        <v/>
      </c>
      <c r="G277" s="67" t="str">
        <f ca="1">IFERROR(__xludf.DUMMYFUNCTION("IFERROR(IF(SUMPRODUCT(('Σύνοψη'!$F$2:$F289=$A277)*('Σύνοψη'!$C$2:$C289=G$3)*('Σύνοψη'!$G$2:$G289=$B277))&gt;0,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'Σύνοψη'!$C$2:$C289=G$3)), IF(SUMPRODUCT(('Σύνοψη'!$F$2:$F289=$A277)*('Σύνοψη'!$C$2:$C289=G$3)*('Σύνοψη'!$G$2:$G289&lt;$B277)*('Σύνοψη'!$H$2:$H289&gt;$B277))&gt;0, CHAR(34), """") ), """")"),"")</f>
        <v/>
      </c>
      <c r="H277" s="67" t="str">
        <f ca="1">IFERROR(__xludf.DUMMYFUNCTION("IFERROR(IF(SUMPRODUCT(('Σύνοψη'!$F$2:$F289=$A277)*('Σύνοψη'!$C$2:$C289=H$3)*('Σύνοψη'!$G$2:$G289=$B277))&gt;0, TEXTJOIN(CHAR(10) &amp; ""-----------------------"" &amp; CHAR(10), TRUE, FILTER('Σύνοψη'!$E$2:$E289 &amp; "" - "" &amp; 'Σύνοψη'!$I$2:$I289 &amp; "" ("" &amp; 'Σύνοψη'!$J"&amp;"$2:$J289 &amp; "")"", 'Σύνοψη'!$F$2:$F289=$A277, 'Σύνοψη'!$G$2:$G289=$B277, 'Σύνοψη'!$C$2:$C289=H$3)), IF(SUMPRODUCT(('Σύνοψη'!$F$2:$F289=$A277)*('Σύνοψη'!$C$2:$C289=H$3)*('Σύνοψη'!$G$2:$G289&lt;$B277)*('Σύνοψη'!$H$2:$H289&gt;$B277))&gt;0, CHAR(34), """") ), """")"),"")</f>
        <v/>
      </c>
      <c r="I277" s="3"/>
    </row>
    <row r="278" spans="1:9" x14ac:dyDescent="0.25">
      <c r="A278" s="95">
        <f t="shared" si="19"/>
        <v>46290</v>
      </c>
      <c r="B278" s="89">
        <v>0.41666666666666669</v>
      </c>
      <c r="C278" s="67" t="str">
        <f ca="1">IFERROR(__xludf.DUMMYFUNCTION("IFERROR(IF(SUMPRODUCT(('Σύνοψη'!$F$2:$F289=$A278)*('Σύνοψη'!$C$2:$C289=C$3)*('Σύνοψη'!$G$2:$G289=$B278))&gt;0,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'Σύνοψη'!$C$2:$C289=C$3)), IF(SUMPRODUCT(('Σύνοψη'!$F$2:$F289=$A278)*('Σύνοψη'!$C$2:$C289=C$3)*('Σύνοψη'!$G$2:$G289&lt;$B278)*('Σύνοψη'!$H$2:$H289&gt;$B278))&gt;0, CHAR(34), """") ), """")"),"")</f>
        <v/>
      </c>
      <c r="D278" s="67" t="str">
        <f ca="1">IFERROR(__xludf.DUMMYFUNCTION("IFERROR(IF(SUMPRODUCT(('Σύνοψη'!$F$2:$F289=$A278)*('Σύνοψη'!$C$2:$C289=D$3)*('Σύνοψη'!$G$2:$G289=$B278))&gt;0,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'Σύνοψη'!$C$2:$C289=D$3)), IF(SUMPRODUCT(('Σύνοψη'!$F$2:$F289=$A278)*('Σύνοψη'!$C$2:$C289=D$3)*('Σύνοψη'!$G$2:$G289&lt;$B278)*('Σύνοψη'!$H$2:$H289&gt;$B278))&gt;0, CHAR(34), """") ), """")"),"")</f>
        <v/>
      </c>
      <c r="E278" s="67" t="str">
        <f ca="1">IFERROR(__xludf.DUMMYFUNCTION("IFERROR(IF(SUMPRODUCT(('Σύνοψη'!$F$2:$F289=$A278)*('Σύνοψη'!$C$2:$C289=E$3)*('Σύνοψη'!$G$2:$G289=$B278))&gt;0,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'Σύνοψη'!$C$2:$C289=E$3)), IF(SUMPRODUCT(('Σύνοψη'!$F$2:$F289=$A278)*('Σύνοψη'!$C$2:$C289=E$3)*('Σύνοψη'!$G$2:$G289&lt;$B278)*('Σύνοψη'!$H$2:$H289&gt;$B278))&gt;0, CHAR(34), """") ), """")"),"")</f>
        <v/>
      </c>
      <c r="F278" s="67" t="str">
        <f ca="1">IFERROR(__xludf.DUMMYFUNCTION("IFERROR(IF(SUMPRODUCT(('Σύνοψη'!$F$2:$F289=$A278)*('Σύνοψη'!$C$2:$C289=F$3)*('Σύνοψη'!$G$2:$G289=$B278))&gt;0,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'Σύνοψη'!$C$2:$C289=F$3)), IF(SUMPRODUCT(('Σύνοψη'!$F$2:$F289=$A278)*('Σύνοψη'!$C$2:$C289=F$3)*('Σύνοψη'!$G$2:$G289&lt;$B278)*('Σύνοψη'!$H$2:$H289&gt;$B278))&gt;0, CHAR(34), """") ), """")"),"")</f>
        <v/>
      </c>
      <c r="G278" s="67" t="str">
        <f ca="1">IFERROR(__xludf.DUMMYFUNCTION("IFERROR(IF(SUMPRODUCT(('Σύνοψη'!$F$2:$F289=$A278)*('Σύνοψη'!$C$2:$C289=G$3)*('Σύνοψη'!$G$2:$G289=$B278))&gt;0,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'Σύνοψη'!$C$2:$C289=G$3)), IF(SUMPRODUCT(('Σύνοψη'!$F$2:$F289=$A278)*('Σύνοψη'!$C$2:$C289=G$3)*('Σύνοψη'!$G$2:$G289&lt;$B278)*('Σύνοψη'!$H$2:$H289&gt;$B278))&gt;0, CHAR(34), """") ), """")"),"")</f>
        <v/>
      </c>
      <c r="H278" s="67" t="str">
        <f ca="1">IFERROR(__xludf.DUMMYFUNCTION("IFERROR(IF(SUMPRODUCT(('Σύνοψη'!$F$2:$F289=$A278)*('Σύνοψη'!$C$2:$C289=H$3)*('Σύνοψη'!$G$2:$G289=$B278))&gt;0, TEXTJOIN(CHAR(10) &amp; ""-----------------------"" &amp; CHAR(10), TRUE, FILTER('Σύνοψη'!$E$2:$E289 &amp; "" - "" &amp; 'Σύνοψη'!$I$2:$I289 &amp; "" ("" &amp; 'Σύνοψη'!$J"&amp;"$2:$J289 &amp; "")"", 'Σύνοψη'!$F$2:$F289=$A278, 'Σύνοψη'!$G$2:$G289=$B278, 'Σύνοψη'!$C$2:$C289=H$3)), IF(SUMPRODUCT(('Σύνοψη'!$F$2:$F289=$A278)*('Σύνοψη'!$C$2:$C289=H$3)*('Σύνοψη'!$G$2:$G289&lt;$B278)*('Σύνοψη'!$H$2:$H289&gt;$B278))&gt;0, CHAR(34), """") ), """")"),"")</f>
        <v/>
      </c>
      <c r="I278" s="3"/>
    </row>
    <row r="279" spans="1:9" x14ac:dyDescent="0.25">
      <c r="A279" s="95">
        <f t="shared" si="19"/>
        <v>46290</v>
      </c>
      <c r="B279" s="89">
        <v>0.45833333333333331</v>
      </c>
      <c r="C279" s="67" t="str">
        <f ca="1">IFERROR(__xludf.DUMMYFUNCTION("IFERROR(IF(SUMPRODUCT(('Σύνοψη'!$F$2:$F289=$A279)*('Σύνοψη'!$C$2:$C289=C$3)*('Σύνοψη'!$G$2:$G289=$B279))&gt;0,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'Σύνοψη'!$C$2:$C289=C$3)), IF(SUMPRODUCT(('Σύνοψη'!$F$2:$F289=$A279)*('Σύνοψη'!$C$2:$C289=C$3)*('Σύνοψη'!$G$2:$G289&lt;$B279)*('Σύνοψη'!$H$2:$H289&gt;$B279))&gt;0, CHAR(34), """") ), """")"),"")</f>
        <v/>
      </c>
      <c r="D279" s="67" t="str">
        <f ca="1">IFERROR(__xludf.DUMMYFUNCTION("IFERROR(IF(SUMPRODUCT(('Σύνοψη'!$F$2:$F289=$A279)*('Σύνοψη'!$C$2:$C289=D$3)*('Σύνοψη'!$G$2:$G289=$B279))&gt;0,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'Σύνοψη'!$C$2:$C289=D$3)), IF(SUMPRODUCT(('Σύνοψη'!$F$2:$F289=$A279)*('Σύνοψη'!$C$2:$C289=D$3)*('Σύνοψη'!$G$2:$G289&lt;$B279)*('Σύνοψη'!$H$2:$H289&gt;$B279))&gt;0, CHAR(34), """") ), """")"),"")</f>
        <v/>
      </c>
      <c r="E279" s="67" t="str">
        <f ca="1">IFERROR(__xludf.DUMMYFUNCTION("IFERROR(IF(SUMPRODUCT(('Σύνοψη'!$F$2:$F289=$A279)*('Σύνοψη'!$C$2:$C289=E$3)*('Σύνοψη'!$G$2:$G289=$B279))&gt;0,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'Σύνοψη'!$C$2:$C289=E$3)), IF(SUMPRODUCT(('Σύνοψη'!$F$2:$F289=$A279)*('Σύνοψη'!$C$2:$C289=E$3)*('Σύνοψη'!$G$2:$G289&lt;$B279)*('Σύνοψη'!$H$2:$H289&gt;$B279))&gt;0, CHAR(34), """") ), """")"),"")</f>
        <v/>
      </c>
      <c r="F279" s="67" t="str">
        <f ca="1">IFERROR(__xludf.DUMMYFUNCTION("IFERROR(IF(SUMPRODUCT(('Σύνοψη'!$F$2:$F289=$A279)*('Σύνοψη'!$C$2:$C289=F$3)*('Σύνοψη'!$G$2:$G289=$B279))&gt;0,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'Σύνοψη'!$C$2:$C289=F$3)), IF(SUMPRODUCT(('Σύνοψη'!$F$2:$F289=$A279)*('Σύνοψη'!$C$2:$C289=F$3)*('Σύνοψη'!$G$2:$G289&lt;$B279)*('Σύνοψη'!$H$2:$H289&gt;$B279))&gt;0, CHAR(34), """") ), """")"),"")</f>
        <v/>
      </c>
      <c r="G279" s="67" t="str">
        <f ca="1">IFERROR(__xludf.DUMMYFUNCTION("IFERROR(IF(SUMPRODUCT(('Σύνοψη'!$F$2:$F289=$A279)*('Σύνοψη'!$C$2:$C289=G$3)*('Σύνοψη'!$G$2:$G289=$B279))&gt;0,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'Σύνοψη'!$C$2:$C289=G$3)), IF(SUMPRODUCT(('Σύνοψη'!$F$2:$F289=$A279)*('Σύνοψη'!$C$2:$C289=G$3)*('Σύνοψη'!$G$2:$G289&lt;$B279)*('Σύνοψη'!$H$2:$H289&gt;$B279))&gt;0, CHAR(34), """") ), """")"),"")</f>
        <v/>
      </c>
      <c r="H279" s="67" t="str">
        <f ca="1">IFERROR(__xludf.DUMMYFUNCTION("IFERROR(IF(SUMPRODUCT(('Σύνοψη'!$F$2:$F289=$A279)*('Σύνοψη'!$C$2:$C289=H$3)*('Σύνοψη'!$G$2:$G289=$B279))&gt;0, TEXTJOIN(CHAR(10) &amp; ""-----------------------"" &amp; CHAR(10), TRUE, FILTER('Σύνοψη'!$E$2:$E289 &amp; "" - "" &amp; 'Σύνοψη'!$I$2:$I289 &amp; "" ("" &amp; 'Σύνοψη'!$J"&amp;"$2:$J289 &amp; "")"", 'Σύνοψη'!$F$2:$F289=$A279, 'Σύνοψη'!$G$2:$G289=$B279, 'Σύνοψη'!$C$2:$C289=H$3)), IF(SUMPRODUCT(('Σύνοψη'!$F$2:$F289=$A279)*('Σύνοψη'!$C$2:$C289=H$3)*('Σύνοψη'!$G$2:$G289&lt;$B279)*('Σύνοψη'!$H$2:$H289&gt;$B279))&gt;0, CHAR(34), """") ), """")"),"")</f>
        <v/>
      </c>
      <c r="I279" s="3"/>
    </row>
    <row r="280" spans="1:9" x14ac:dyDescent="0.25">
      <c r="A280" s="95">
        <f t="shared" si="19"/>
        <v>46290</v>
      </c>
      <c r="B280" s="89">
        <v>0.5</v>
      </c>
      <c r="C280" s="67" t="str">
        <f ca="1">IFERROR(__xludf.DUMMYFUNCTION("IFERROR(IF(SUMPRODUCT(('Σύνοψη'!$F$2:$F289=$A280)*('Σύνοψη'!$C$2:$C289=C$3)*('Σύνοψη'!$G$2:$G289=$B280))&gt;0,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'Σύνοψη'!$C$2:$C289=C$3)), IF(SUMPRODUCT(('Σύνοψη'!$F$2:$F289=$A280)*('Σύνοψη'!$C$2:$C289=C$3)*('Σύνοψη'!$G$2:$G289&lt;$B280)*('Σύνοψη'!$H$2:$H289&gt;$B280))&gt;0, CHAR(34), """") ), """")"),"")</f>
        <v/>
      </c>
      <c r="D280" s="67" t="str">
        <f ca="1">IFERROR(__xludf.DUMMYFUNCTION("IFERROR(IF(SUMPRODUCT(('Σύνοψη'!$F$2:$F289=$A280)*('Σύνοψη'!$C$2:$C289=D$3)*('Σύνοψη'!$G$2:$G289=$B280))&gt;0,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'Σύνοψη'!$C$2:$C289=D$3)), IF(SUMPRODUCT(('Σύνοψη'!$F$2:$F289=$A280)*('Σύνοψη'!$C$2:$C289=D$3)*('Σύνοψη'!$G$2:$G289&lt;$B280)*('Σύνοψη'!$H$2:$H289&gt;$B280))&gt;0, CHAR(34), """") ), """")"),"")</f>
        <v/>
      </c>
      <c r="E280" s="67" t="str">
        <f ca="1">IFERROR(__xludf.DUMMYFUNCTION("IFERROR(IF(SUMPRODUCT(('Σύνοψη'!$F$2:$F289=$A280)*('Σύνοψη'!$C$2:$C289=E$3)*('Σύνοψη'!$G$2:$G289=$B280))&gt;0,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'Σύνοψη'!$C$2:$C289=E$3)), IF(SUMPRODUCT(('Σύνοψη'!$F$2:$F289=$A280)*('Σύνοψη'!$C$2:$C289=E$3)*('Σύνοψη'!$G$2:$G289&lt;$B280)*('Σύνοψη'!$H$2:$H289&gt;$B280))&gt;0, CHAR(34), """") ), """")"),"")</f>
        <v/>
      </c>
      <c r="F280" s="67" t="str">
        <f ca="1">IFERROR(__xludf.DUMMYFUNCTION("IFERROR(IF(SUMPRODUCT(('Σύνοψη'!$F$2:$F289=$A280)*('Σύνοψη'!$C$2:$C289=F$3)*('Σύνοψη'!$G$2:$G289=$B280))&gt;0,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'Σύνοψη'!$C$2:$C289=F$3)), IF(SUMPRODUCT(('Σύνοψη'!$F$2:$F289=$A280)*('Σύνοψη'!$C$2:$C289=F$3)*('Σύνοψη'!$G$2:$G289&lt;$B280)*('Σύνοψη'!$H$2:$H289&gt;$B280))&gt;0, CHAR(34), """") ), """")"),"")</f>
        <v/>
      </c>
      <c r="G280" s="67" t="str">
        <f ca="1">IFERROR(__xludf.DUMMYFUNCTION("IFERROR(IF(SUMPRODUCT(('Σύνοψη'!$F$2:$F289=$A280)*('Σύνοψη'!$C$2:$C289=G$3)*('Σύνοψη'!$G$2:$G289=$B280))&gt;0,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'Σύνοψη'!$C$2:$C289=G$3)), IF(SUMPRODUCT(('Σύνοψη'!$F$2:$F289=$A280)*('Σύνοψη'!$C$2:$C289=G$3)*('Σύνοψη'!$G$2:$G289&lt;$B280)*('Σύνοψη'!$H$2:$H289&gt;$B280))&gt;0, CHAR(34), """") ), """")"),"")</f>
        <v/>
      </c>
      <c r="H280" s="67" t="str">
        <f ca="1">IFERROR(__xludf.DUMMYFUNCTION("IFERROR(IF(SUMPRODUCT(('Σύνοψη'!$F$2:$F289=$A280)*('Σύνοψη'!$C$2:$C289=H$3)*('Σύνοψη'!$G$2:$G289=$B280))&gt;0, TEXTJOIN(CHAR(10) &amp; ""-----------------------"" &amp; CHAR(10), TRUE, FILTER('Σύνοψη'!$E$2:$E289 &amp; "" - "" &amp; 'Σύνοψη'!$I$2:$I289 &amp; "" ("" &amp; 'Σύνοψη'!$J"&amp;"$2:$J289 &amp; "")"", 'Σύνοψη'!$F$2:$F289=$A280, 'Σύνοψη'!$G$2:$G289=$B280, 'Σύνοψη'!$C$2:$C289=H$3)), IF(SUMPRODUCT(('Σύνοψη'!$F$2:$F289=$A280)*('Σύνοψη'!$C$2:$C289=H$3)*('Σύνοψη'!$G$2:$G289&lt;$B280)*('Σύνοψη'!$H$2:$H289&gt;$B280))&gt;0, CHAR(34), """") ), """")"),"")</f>
        <v/>
      </c>
      <c r="I280" s="3"/>
    </row>
    <row r="281" spans="1:9" x14ac:dyDescent="0.25">
      <c r="A281" s="95">
        <f t="shared" si="19"/>
        <v>46290</v>
      </c>
      <c r="B281" s="89">
        <v>0.54166666666666663</v>
      </c>
      <c r="C281" s="67" t="str">
        <f ca="1">IFERROR(__xludf.DUMMYFUNCTION("IFERROR(IF(SUMPRODUCT(('Σύνοψη'!$F$2:$F289=$A281)*('Σύνοψη'!$C$2:$C289=C$3)*('Σύνοψη'!$G$2:$G289=$B281))&gt;0,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'Σύνοψη'!$C$2:$C289=C$3)), IF(SUMPRODUCT(('Σύνοψη'!$F$2:$F289=$A281)*('Σύνοψη'!$C$2:$C289=C$3)*('Σύνοψη'!$G$2:$G289&lt;$B281)*('Σύνοψη'!$H$2:$H289&gt;$B281))&gt;0, CHAR(34), """") ), """")"),"")</f>
        <v/>
      </c>
      <c r="D281" s="67" t="str">
        <f ca="1">IFERROR(__xludf.DUMMYFUNCTION("IFERROR(IF(SUMPRODUCT(('Σύνοψη'!$F$2:$F289=$A281)*('Σύνοψη'!$C$2:$C289=D$3)*('Σύνοψη'!$G$2:$G289=$B281))&gt;0,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'Σύνοψη'!$C$2:$C289=D$3)), IF(SUMPRODUCT(('Σύνοψη'!$F$2:$F289=$A281)*('Σύνοψη'!$C$2:$C289=D$3)*('Σύνοψη'!$G$2:$G289&lt;$B281)*('Σύνοψη'!$H$2:$H289&gt;$B281))&gt;0, CHAR(34), """") ), """")"),"")</f>
        <v/>
      </c>
      <c r="E281" s="67" t="str">
        <f ca="1">IFERROR(__xludf.DUMMYFUNCTION("IFERROR(IF(SUMPRODUCT(('Σύνοψη'!$F$2:$F289=$A281)*('Σύνοψη'!$C$2:$C289=E$3)*('Σύνοψη'!$G$2:$G289=$B281))&gt;0,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'Σύνοψη'!$C$2:$C289=E$3)), IF(SUMPRODUCT(('Σύνοψη'!$F$2:$F289=$A281)*('Σύνοψη'!$C$2:$C289=E$3)*('Σύνοψη'!$G$2:$G289&lt;$B281)*('Σύνοψη'!$H$2:$H289&gt;$B281))&gt;0, CHAR(34), """") ), """")"),"")</f>
        <v/>
      </c>
      <c r="F281" s="67" t="str">
        <f ca="1">IFERROR(__xludf.DUMMYFUNCTION("IFERROR(IF(SUMPRODUCT(('Σύνοψη'!$F$2:$F289=$A281)*('Σύνοψη'!$C$2:$C289=F$3)*('Σύνοψη'!$G$2:$G289=$B281))&gt;0,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'Σύνοψη'!$C$2:$C289=F$3)), IF(SUMPRODUCT(('Σύνοψη'!$F$2:$F289=$A281)*('Σύνοψη'!$C$2:$C289=F$3)*('Σύνοψη'!$G$2:$G289&lt;$B281)*('Σύνοψη'!$H$2:$H289&gt;$B281))&gt;0, CHAR(34), """") ), """")"),"")</f>
        <v/>
      </c>
      <c r="G281" s="67" t="str">
        <f ca="1">IFERROR(__xludf.DUMMYFUNCTION("IFERROR(IF(SUMPRODUCT(('Σύνοψη'!$F$2:$F289=$A281)*('Σύνοψη'!$C$2:$C289=G$3)*('Σύνοψη'!$G$2:$G289=$B281))&gt;0,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'Σύνοψη'!$C$2:$C289=G$3)), IF(SUMPRODUCT(('Σύνοψη'!$F$2:$F289=$A281)*('Σύνοψη'!$C$2:$C289=G$3)*('Σύνοψη'!$G$2:$G289&lt;$B281)*('Σύνοψη'!$H$2:$H289&gt;$B281))&gt;0, CHAR(34), """") ), """")"),"")</f>
        <v/>
      </c>
      <c r="H281" s="67" t="str">
        <f ca="1">IFERROR(__xludf.DUMMYFUNCTION("IFERROR(IF(SUMPRODUCT(('Σύνοψη'!$F$2:$F289=$A281)*('Σύνοψη'!$C$2:$C289=H$3)*('Σύνοψη'!$G$2:$G289=$B281))&gt;0, TEXTJOIN(CHAR(10) &amp; ""-----------------------"" &amp; CHAR(10), TRUE, FILTER('Σύνοψη'!$E$2:$E289 &amp; "" - "" &amp; 'Σύνοψη'!$I$2:$I289 &amp; "" ("" &amp; 'Σύνοψη'!$J"&amp;"$2:$J289 &amp; "")"", 'Σύνοψη'!$F$2:$F289=$A281, 'Σύνοψη'!$G$2:$G289=$B281, 'Σύνοψη'!$C$2:$C289=H$3)), IF(SUMPRODUCT(('Σύνοψη'!$F$2:$F289=$A281)*('Σύνοψη'!$C$2:$C289=H$3)*('Σύνοψη'!$G$2:$G289&lt;$B281)*('Σύνοψη'!$H$2:$H289&gt;$B281))&gt;0, CHAR(34), """") ), """")"),"")</f>
        <v/>
      </c>
      <c r="I281" s="3"/>
    </row>
    <row r="282" spans="1:9" x14ac:dyDescent="0.25">
      <c r="A282" s="95">
        <f t="shared" si="19"/>
        <v>46290</v>
      </c>
      <c r="B282" s="89">
        <v>0.58333333333333337</v>
      </c>
      <c r="C282" s="67" t="str">
        <f ca="1">IFERROR(__xludf.DUMMYFUNCTION("IFERROR(IF(SUMPRODUCT(('Σύνοψη'!$F$2:$F289=$A282)*('Σύνοψη'!$C$2:$C289=C$3)*('Σύνοψη'!$G$2:$G289=$B282))&gt;0,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'Σύνοψη'!$C$2:$C289=C$3)), IF(SUMPRODUCT(('Σύνοψη'!$F$2:$F289=$A282)*('Σύνοψη'!$C$2:$C289=C$3)*('Σύνοψη'!$G$2:$G289&lt;$B282)*('Σύνοψη'!$H$2:$H289&gt;$B282))&gt;0, CHAR(34), """") ), """")"),"")</f>
        <v/>
      </c>
      <c r="D282" s="67" t="str">
        <f ca="1">IFERROR(__xludf.DUMMYFUNCTION("IFERROR(IF(SUMPRODUCT(('Σύνοψη'!$F$2:$F289=$A282)*('Σύνοψη'!$C$2:$C289=D$3)*('Σύνοψη'!$G$2:$G289=$B282))&gt;0,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'Σύνοψη'!$C$2:$C289=D$3)), IF(SUMPRODUCT(('Σύνοψη'!$F$2:$F289=$A282)*('Σύνοψη'!$C$2:$C289=D$3)*('Σύνοψη'!$G$2:$G289&lt;$B282)*('Σύνοψη'!$H$2:$H289&gt;$B282))&gt;0, CHAR(34), """") ), """")"),"")</f>
        <v/>
      </c>
      <c r="E282" s="67" t="str">
        <f ca="1">IFERROR(__xludf.DUMMYFUNCTION("IFERROR(IF(SUMPRODUCT(('Σύνοψη'!$F$2:$F289=$A282)*('Σύνοψη'!$C$2:$C289=E$3)*('Σύνοψη'!$G$2:$G289=$B282))&gt;0,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'Σύνοψη'!$C$2:$C289=E$3)), IF(SUMPRODUCT(('Σύνοψη'!$F$2:$F289=$A282)*('Σύνοψη'!$C$2:$C289=E$3)*('Σύνοψη'!$G$2:$G289&lt;$B282)*('Σύνοψη'!$H$2:$H289&gt;$B282))&gt;0, CHAR(34), """") ), """")"),"")</f>
        <v/>
      </c>
      <c r="F282" s="67" t="str">
        <f ca="1">IFERROR(__xludf.DUMMYFUNCTION("IFERROR(IF(SUMPRODUCT(('Σύνοψη'!$F$2:$F289=$A282)*('Σύνοψη'!$C$2:$C289=F$3)*('Σύνοψη'!$G$2:$G289=$B282))&gt;0,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'Σύνοψη'!$C$2:$C289=F$3)), IF(SUMPRODUCT(('Σύνοψη'!$F$2:$F289=$A282)*('Σύνοψη'!$C$2:$C289=F$3)*('Σύνοψη'!$G$2:$G289&lt;$B282)*('Σύνοψη'!$H$2:$H289&gt;$B282))&gt;0, CHAR(34), """") ), """")"),"")</f>
        <v/>
      </c>
      <c r="G282" s="67" t="str">
        <f ca="1">IFERROR(__xludf.DUMMYFUNCTION("IFERROR(IF(SUMPRODUCT(('Σύνοψη'!$F$2:$F289=$A282)*('Σύνοψη'!$C$2:$C289=G$3)*('Σύνοψη'!$G$2:$G289=$B282))&gt;0,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'Σύνοψη'!$C$2:$C289=G$3)), IF(SUMPRODUCT(('Σύνοψη'!$F$2:$F289=$A282)*('Σύνοψη'!$C$2:$C289=G$3)*('Σύνοψη'!$G$2:$G289&lt;$B282)*('Σύνοψη'!$H$2:$H289&gt;$B282))&gt;0, CHAR(34), """") ), """")"),"")</f>
        <v/>
      </c>
      <c r="H282" s="67" t="str">
        <f ca="1">IFERROR(__xludf.DUMMYFUNCTION("IFERROR(IF(SUMPRODUCT(('Σύνοψη'!$F$2:$F289=$A282)*('Σύνοψη'!$C$2:$C289=H$3)*('Σύνοψη'!$G$2:$G289=$B282))&gt;0, TEXTJOIN(CHAR(10) &amp; ""-----------------------"" &amp; CHAR(10), TRUE, FILTER('Σύνοψη'!$E$2:$E289 &amp; "" - "" &amp; 'Σύνοψη'!$I$2:$I289 &amp; "" ("" &amp; 'Σύνοψη'!$J"&amp;"$2:$J289 &amp; "")"", 'Σύνοψη'!$F$2:$F289=$A282, 'Σύνοψη'!$G$2:$G289=$B282, 'Σύνοψη'!$C$2:$C289=H$3)), IF(SUMPRODUCT(('Σύνοψη'!$F$2:$F289=$A282)*('Σύνοψη'!$C$2:$C289=H$3)*('Σύνοψη'!$G$2:$G289&lt;$B282)*('Σύνοψη'!$H$2:$H289&gt;$B282))&gt;0, CHAR(34), """") ), """")"),"")</f>
        <v/>
      </c>
      <c r="I282" s="3"/>
    </row>
    <row r="283" spans="1:9" x14ac:dyDescent="0.25">
      <c r="A283" s="95">
        <f t="shared" si="19"/>
        <v>46290</v>
      </c>
      <c r="B283" s="89">
        <v>0.625</v>
      </c>
      <c r="C283" s="67" t="str">
        <f ca="1">IFERROR(__xludf.DUMMYFUNCTION("IFERROR(IF(SUMPRODUCT(('Σύνοψη'!$F$2:$F289=$A283)*('Σύνοψη'!$C$2:$C289=C$3)*('Σύνοψη'!$G$2:$G289=$B283))&gt;0,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'Σύνοψη'!$C$2:$C289=C$3)), IF(SUMPRODUCT(('Σύνοψη'!$F$2:$F289=$A283)*('Σύνοψη'!$C$2:$C289=C$3)*('Σύνοψη'!$G$2:$G289&lt;$B283)*('Σύνοψη'!$H$2:$H289&gt;$B283))&gt;0, CHAR(34), """") ), """")"),"")</f>
        <v/>
      </c>
      <c r="D283" s="67" t="str">
        <f ca="1">IFERROR(__xludf.DUMMYFUNCTION("IFERROR(IF(SUMPRODUCT(('Σύνοψη'!$F$2:$F289=$A283)*('Σύνοψη'!$C$2:$C289=D$3)*('Σύνοψη'!$G$2:$G289=$B283))&gt;0,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'Σύνοψη'!$C$2:$C289=D$3)), IF(SUMPRODUCT(('Σύνοψη'!$F$2:$F289=$A283)*('Σύνοψη'!$C$2:$C289=D$3)*('Σύνοψη'!$G$2:$G289&lt;$B283)*('Σύνοψη'!$H$2:$H289&gt;$B283))&gt;0, CHAR(34), """") ), """")"),"")</f>
        <v/>
      </c>
      <c r="E283" s="67" t="str">
        <f ca="1">IFERROR(__xludf.DUMMYFUNCTION("IFERROR(IF(SUMPRODUCT(('Σύνοψη'!$F$2:$F289=$A283)*('Σύνοψη'!$C$2:$C289=E$3)*('Σύνοψη'!$G$2:$G289=$B283))&gt;0,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'Σύνοψη'!$C$2:$C289=E$3)), IF(SUMPRODUCT(('Σύνοψη'!$F$2:$F289=$A283)*('Σύνοψη'!$C$2:$C289=E$3)*('Σύνοψη'!$G$2:$G289&lt;$B283)*('Σύνοψη'!$H$2:$H289&gt;$B283))&gt;0, CHAR(34), """") ), """")"),"")</f>
        <v/>
      </c>
      <c r="F283" s="67" t="str">
        <f ca="1">IFERROR(__xludf.DUMMYFUNCTION("IFERROR(IF(SUMPRODUCT(('Σύνοψη'!$F$2:$F289=$A283)*('Σύνοψη'!$C$2:$C289=F$3)*('Σύνοψη'!$G$2:$G289=$B283))&gt;0,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'Σύνοψη'!$C$2:$C289=F$3)), IF(SUMPRODUCT(('Σύνοψη'!$F$2:$F289=$A283)*('Σύνοψη'!$C$2:$C289=F$3)*('Σύνοψη'!$G$2:$G289&lt;$B283)*('Σύνοψη'!$H$2:$H289&gt;$B283))&gt;0, CHAR(34), """") ), """")"),"")</f>
        <v/>
      </c>
      <c r="G283" s="67" t="str">
        <f ca="1">IFERROR(__xludf.DUMMYFUNCTION("IFERROR(IF(SUMPRODUCT(('Σύνοψη'!$F$2:$F289=$A283)*('Σύνοψη'!$C$2:$C289=G$3)*('Σύνοψη'!$G$2:$G289=$B283))&gt;0,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'Σύνοψη'!$C$2:$C289=G$3)), IF(SUMPRODUCT(('Σύνοψη'!$F$2:$F289=$A283)*('Σύνοψη'!$C$2:$C289=G$3)*('Σύνοψη'!$G$2:$G289&lt;$B283)*('Σύνοψη'!$H$2:$H289&gt;$B283))&gt;0, CHAR(34), """") ), """")"),"")</f>
        <v/>
      </c>
      <c r="H283" s="67" t="str">
        <f ca="1">IFERROR(__xludf.DUMMYFUNCTION("IFERROR(IF(SUMPRODUCT(('Σύνοψη'!$F$2:$F289=$A283)*('Σύνοψη'!$C$2:$C289=H$3)*('Σύνοψη'!$G$2:$G289=$B283))&gt;0, TEXTJOIN(CHAR(10) &amp; ""-----------------------"" &amp; CHAR(10), TRUE, FILTER('Σύνοψη'!$E$2:$E289 &amp; "" - "" &amp; 'Σύνοψη'!$I$2:$I289 &amp; "" ("" &amp; 'Σύνοψη'!$J"&amp;"$2:$J289 &amp; "")"", 'Σύνοψη'!$F$2:$F289=$A283, 'Σύνοψη'!$G$2:$G289=$B283, 'Σύνοψη'!$C$2:$C289=H$3)), IF(SUMPRODUCT(('Σύνοψη'!$F$2:$F289=$A283)*('Σύνοψη'!$C$2:$C289=H$3)*('Σύνοψη'!$G$2:$G289&lt;$B283)*('Σύνοψη'!$H$2:$H289&gt;$B283))&gt;0, CHAR(34), """") ), """")"),"")</f>
        <v/>
      </c>
      <c r="I283" s="3"/>
    </row>
    <row r="284" spans="1:9" x14ac:dyDescent="0.25">
      <c r="A284" s="95">
        <f t="shared" si="19"/>
        <v>46290</v>
      </c>
      <c r="B284" s="89">
        <v>0.66666666666666663</v>
      </c>
      <c r="C284" s="67" t="str">
        <f ca="1">IFERROR(__xludf.DUMMYFUNCTION("IFERROR(IF(SUMPRODUCT(('Σύνοψη'!$F$2:$F289=$A284)*('Σύνοψη'!$C$2:$C289=C$3)*('Σύνοψη'!$G$2:$G289=$B284))&gt;0,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'Σύνοψη'!$C$2:$C289=C$3)), IF(SUMPRODUCT(('Σύνοψη'!$F$2:$F289=$A284)*('Σύνοψη'!$C$2:$C289=C$3)*('Σύνοψη'!$G$2:$G289&lt;$B284)*('Σύνοψη'!$H$2:$H289&gt;$B284))&gt;0, CHAR(34), """") ), """")"),"")</f>
        <v/>
      </c>
      <c r="D284" s="67" t="str">
        <f ca="1">IFERROR(__xludf.DUMMYFUNCTION("IFERROR(IF(SUMPRODUCT(('Σύνοψη'!$F$2:$F289=$A284)*('Σύνοψη'!$C$2:$C289=D$3)*('Σύνοψη'!$G$2:$G289=$B284))&gt;0,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'Σύνοψη'!$C$2:$C289=D$3)), IF(SUMPRODUCT(('Σύνοψη'!$F$2:$F289=$A284)*('Σύνοψη'!$C$2:$C289=D$3)*('Σύνοψη'!$G$2:$G289&lt;$B284)*('Σύνοψη'!$H$2:$H289&gt;$B284))&gt;0, CHAR(34), """") ), """")"),"")</f>
        <v/>
      </c>
      <c r="E284" s="67" t="str">
        <f ca="1">IFERROR(__xludf.DUMMYFUNCTION("IFERROR(IF(SUMPRODUCT(('Σύνοψη'!$F$2:$F289=$A284)*('Σύνοψη'!$C$2:$C289=E$3)*('Σύνοψη'!$G$2:$G289=$B284))&gt;0,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'Σύνοψη'!$C$2:$C289=E$3)), IF(SUMPRODUCT(('Σύνοψη'!$F$2:$F289=$A284)*('Σύνοψη'!$C$2:$C289=E$3)*('Σύνοψη'!$G$2:$G289&lt;$B284)*('Σύνοψη'!$H$2:$H289&gt;$B284))&gt;0, CHAR(34), """") ), """")"),"")</f>
        <v/>
      </c>
      <c r="F284" s="67" t="str">
        <f ca="1">IFERROR(__xludf.DUMMYFUNCTION("IFERROR(IF(SUMPRODUCT(('Σύνοψη'!$F$2:$F289=$A284)*('Σύνοψη'!$C$2:$C289=F$3)*('Σύνοψη'!$G$2:$G289=$B284))&gt;0,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'Σύνοψη'!$C$2:$C289=F$3)), IF(SUMPRODUCT(('Σύνοψη'!$F$2:$F289=$A284)*('Σύνοψη'!$C$2:$C289=F$3)*('Σύνοψη'!$G$2:$G289&lt;$B284)*('Σύνοψη'!$H$2:$H289&gt;$B284))&gt;0, CHAR(34), """") ), """")"),"")</f>
        <v/>
      </c>
      <c r="G284" s="67" t="str">
        <f ca="1">IFERROR(__xludf.DUMMYFUNCTION("IFERROR(IF(SUMPRODUCT(('Σύνοψη'!$F$2:$F289=$A284)*('Σύνοψη'!$C$2:$C289=G$3)*('Σύνοψη'!$G$2:$G289=$B284))&gt;0,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'Σύνοψη'!$C$2:$C289=G$3)), IF(SUMPRODUCT(('Σύνοψη'!$F$2:$F289=$A284)*('Σύνοψη'!$C$2:$C289=G$3)*('Σύνοψη'!$G$2:$G289&lt;$B284)*('Σύνοψη'!$H$2:$H289&gt;$B284))&gt;0, CHAR(34), """") ), """")"),"")</f>
        <v/>
      </c>
      <c r="H284" s="67" t="str">
        <f ca="1">IFERROR(__xludf.DUMMYFUNCTION("IFERROR(IF(SUMPRODUCT(('Σύνοψη'!$F$2:$F289=$A284)*('Σύνοψη'!$C$2:$C289=H$3)*('Σύνοψη'!$G$2:$G289=$B284))&gt;0, TEXTJOIN(CHAR(10) &amp; ""-----------------------"" &amp; CHAR(10), TRUE, FILTER('Σύνοψη'!$E$2:$E289 &amp; "" - "" &amp; 'Σύνοψη'!$I$2:$I289 &amp; "" ("" &amp; 'Σύνοψη'!$J"&amp;"$2:$J289 &amp; "")"", 'Σύνοψη'!$F$2:$F289=$A284, 'Σύνοψη'!$G$2:$G289=$B284, 'Σύνοψη'!$C$2:$C289=H$3)), IF(SUMPRODUCT(('Σύνοψη'!$F$2:$F289=$A284)*('Σύνοψη'!$C$2:$C289=H$3)*('Σύνοψη'!$G$2:$G289&lt;$B284)*('Σύνοψη'!$H$2:$H289&gt;$B284))&gt;0, CHAR(34), """") ), """")"),"")</f>
        <v/>
      </c>
      <c r="I284" s="3"/>
    </row>
    <row r="285" spans="1:9" x14ac:dyDescent="0.25">
      <c r="A285" s="95">
        <f t="shared" si="19"/>
        <v>46290</v>
      </c>
      <c r="B285" s="89">
        <v>0.70833333333333337</v>
      </c>
      <c r="C285" s="67" t="str">
        <f ca="1">IFERROR(__xludf.DUMMYFUNCTION("IFERROR(IF(SUMPRODUCT(('Σύνοψη'!$F$2:$F289=$A285)*('Σύνοψη'!$C$2:$C289=C$3)*('Σύνοψη'!$G$2:$G289=$B285))&gt;0,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'Σύνοψη'!$C$2:$C289=C$3)), IF(SUMPRODUCT(('Σύνοψη'!$F$2:$F289=$A285)*('Σύνοψη'!$C$2:$C289=C$3)*('Σύνοψη'!$G$2:$G289&lt;$B285)*('Σύνοψη'!$H$2:$H289&gt;$B285))&gt;0, CHAR(34), """") ), """")"),"")</f>
        <v/>
      </c>
      <c r="D285" s="67" t="str">
        <f ca="1">IFERROR(__xludf.DUMMYFUNCTION("IFERROR(IF(SUMPRODUCT(('Σύνοψη'!$F$2:$F289=$A285)*('Σύνοψη'!$C$2:$C289=D$3)*('Σύνοψη'!$G$2:$G289=$B285))&gt;0,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'Σύνοψη'!$C$2:$C289=D$3)), IF(SUMPRODUCT(('Σύνοψη'!$F$2:$F289=$A285)*('Σύνοψη'!$C$2:$C289=D$3)*('Σύνοψη'!$G$2:$G289&lt;$B285)*('Σύνοψη'!$H$2:$H289&gt;$B285))&gt;0, CHAR(34), """") ), """")"),"")</f>
        <v/>
      </c>
      <c r="E285" s="67" t="str">
        <f ca="1">IFERROR(__xludf.DUMMYFUNCTION("IFERROR(IF(SUMPRODUCT(('Σύνοψη'!$F$2:$F289=$A285)*('Σύνοψη'!$C$2:$C289=E$3)*('Σύνοψη'!$G$2:$G289=$B285))&gt;0,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'Σύνοψη'!$C$2:$C289=E$3)), IF(SUMPRODUCT(('Σύνοψη'!$F$2:$F289=$A285)*('Σύνοψη'!$C$2:$C289=E$3)*('Σύνοψη'!$G$2:$G289&lt;$B285)*('Σύνοψη'!$H$2:$H289&gt;$B285))&gt;0, CHAR(34), """") ), """")"),"")</f>
        <v/>
      </c>
      <c r="F285" s="67" t="str">
        <f ca="1">IFERROR(__xludf.DUMMYFUNCTION("IFERROR(IF(SUMPRODUCT(('Σύνοψη'!$F$2:$F289=$A285)*('Σύνοψη'!$C$2:$C289=F$3)*('Σύνοψη'!$G$2:$G289=$B285))&gt;0,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'Σύνοψη'!$C$2:$C289=F$3)), IF(SUMPRODUCT(('Σύνοψη'!$F$2:$F289=$A285)*('Σύνοψη'!$C$2:$C289=F$3)*('Σύνοψη'!$G$2:$G289&lt;$B285)*('Σύνοψη'!$H$2:$H289&gt;$B285))&gt;0, CHAR(34), """") ), """")"),"")</f>
        <v/>
      </c>
      <c r="G285" s="67" t="str">
        <f ca="1">IFERROR(__xludf.DUMMYFUNCTION("IFERROR(IF(SUMPRODUCT(('Σύνοψη'!$F$2:$F289=$A285)*('Σύνοψη'!$C$2:$C289=G$3)*('Σύνοψη'!$G$2:$G289=$B285))&gt;0,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'Σύνοψη'!$C$2:$C289=G$3)), IF(SUMPRODUCT(('Σύνοψη'!$F$2:$F289=$A285)*('Σύνοψη'!$C$2:$C289=G$3)*('Σύνοψη'!$G$2:$G289&lt;$B285)*('Σύνοψη'!$H$2:$H289&gt;$B285))&gt;0, CHAR(34), """") ), """")"),"")</f>
        <v/>
      </c>
      <c r="H285" s="67" t="str">
        <f ca="1">IFERROR(__xludf.DUMMYFUNCTION("IFERROR(IF(SUMPRODUCT(('Σύνοψη'!$F$2:$F289=$A285)*('Σύνοψη'!$C$2:$C289=H$3)*('Σύνοψη'!$G$2:$G289=$B285))&gt;0, TEXTJOIN(CHAR(10) &amp; ""-----------------------"" &amp; CHAR(10), TRUE, FILTER('Σύνοψη'!$E$2:$E289 &amp; "" - "" &amp; 'Σύνοψη'!$I$2:$I289 &amp; "" ("" &amp; 'Σύνοψη'!$J"&amp;"$2:$J289 &amp; "")"", 'Σύνοψη'!$F$2:$F289=$A285, 'Σύνοψη'!$G$2:$G289=$B285, 'Σύνοψη'!$C$2:$C289=H$3)), IF(SUMPRODUCT(('Σύνοψη'!$F$2:$F289=$A285)*('Σύνοψη'!$C$2:$C289=H$3)*('Σύνοψη'!$G$2:$G289&lt;$B285)*('Σύνοψη'!$H$2:$H289&gt;$B285))&gt;0, CHAR(34), """") ), """")"),"")</f>
        <v/>
      </c>
      <c r="I285" s="3"/>
    </row>
    <row r="286" spans="1:9" x14ac:dyDescent="0.25">
      <c r="A286" s="95">
        <f t="shared" si="19"/>
        <v>46290</v>
      </c>
      <c r="B286" s="89">
        <v>0.75</v>
      </c>
      <c r="C286" s="67" t="str">
        <f ca="1">IFERROR(__xludf.DUMMYFUNCTION("IFERROR(IF(SUMPRODUCT(('Σύνοψη'!$F$2:$F289=$A286)*('Σύνοψη'!$C$2:$C289=C$3)*('Σύνοψη'!$G$2:$G289=$B286))&gt;0,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'Σύνοψη'!$C$2:$C289=C$3)), IF(SUMPRODUCT(('Σύνοψη'!$F$2:$F289=$A286)*('Σύνοψη'!$C$2:$C289=C$3)*('Σύνοψη'!$G$2:$G289&lt;$B286)*('Σύνοψη'!$H$2:$H289&gt;$B286))&gt;0, CHAR(34), """") ), """")"),"")</f>
        <v/>
      </c>
      <c r="D286" s="67" t="str">
        <f ca="1">IFERROR(__xludf.DUMMYFUNCTION("IFERROR(IF(SUMPRODUCT(('Σύνοψη'!$F$2:$F289=$A286)*('Σύνοψη'!$C$2:$C289=D$3)*('Σύνοψη'!$G$2:$G289=$B286))&gt;0,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'Σύνοψη'!$C$2:$C289=D$3)), IF(SUMPRODUCT(('Σύνοψη'!$F$2:$F289=$A286)*('Σύνοψη'!$C$2:$C289=D$3)*('Σύνοψη'!$G$2:$G289&lt;$B286)*('Σύνοψη'!$H$2:$H289&gt;$B286))&gt;0, CHAR(34), """") ), """")"),"")</f>
        <v/>
      </c>
      <c r="E286" s="67" t="str">
        <f ca="1">IFERROR(__xludf.DUMMYFUNCTION("IFERROR(IF(SUMPRODUCT(('Σύνοψη'!$F$2:$F289=$A286)*('Σύνοψη'!$C$2:$C289=E$3)*('Σύνοψη'!$G$2:$G289=$B286))&gt;0,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'Σύνοψη'!$C$2:$C289=E$3)), IF(SUMPRODUCT(('Σύνοψη'!$F$2:$F289=$A286)*('Σύνοψη'!$C$2:$C289=E$3)*('Σύνοψη'!$G$2:$G289&lt;$B286)*('Σύνοψη'!$H$2:$H289&gt;$B286))&gt;0, CHAR(34), """") ), """")"),"")</f>
        <v/>
      </c>
      <c r="F286" s="67" t="str">
        <f ca="1">IFERROR(__xludf.DUMMYFUNCTION("IFERROR(IF(SUMPRODUCT(('Σύνοψη'!$F$2:$F289=$A286)*('Σύνοψη'!$C$2:$C289=F$3)*('Σύνοψη'!$G$2:$G289=$B286))&gt;0,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'Σύνοψη'!$C$2:$C289=F$3)), IF(SUMPRODUCT(('Σύνοψη'!$F$2:$F289=$A286)*('Σύνοψη'!$C$2:$C289=F$3)*('Σύνοψη'!$G$2:$G289&lt;$B286)*('Σύνοψη'!$H$2:$H289&gt;$B286))&gt;0, CHAR(34), """") ), """")"),"")</f>
        <v/>
      </c>
      <c r="G286" s="67" t="str">
        <f ca="1">IFERROR(__xludf.DUMMYFUNCTION("IFERROR(IF(SUMPRODUCT(('Σύνοψη'!$F$2:$F289=$A286)*('Σύνοψη'!$C$2:$C289=G$3)*('Σύνοψη'!$G$2:$G289=$B286))&gt;0,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'Σύνοψη'!$C$2:$C289=G$3)), IF(SUMPRODUCT(('Σύνοψη'!$F$2:$F289=$A286)*('Σύνοψη'!$C$2:$C289=G$3)*('Σύνοψη'!$G$2:$G289&lt;$B286)*('Σύνοψη'!$H$2:$H289&gt;$B286))&gt;0, CHAR(34), """") ), """")"),"")</f>
        <v/>
      </c>
      <c r="H286" s="67" t="str">
        <f ca="1">IFERROR(__xludf.DUMMYFUNCTION("IFERROR(IF(SUMPRODUCT(('Σύνοψη'!$F$2:$F289=$A286)*('Σύνοψη'!$C$2:$C289=H$3)*('Σύνοψη'!$G$2:$G289=$B286))&gt;0, TEXTJOIN(CHAR(10) &amp; ""-----------------------"" &amp; CHAR(10), TRUE, FILTER('Σύνοψη'!$E$2:$E289 &amp; "" - "" &amp; 'Σύνοψη'!$I$2:$I289 &amp; "" ("" &amp; 'Σύνοψη'!$J"&amp;"$2:$J289 &amp; "")"", 'Σύνοψη'!$F$2:$F289=$A286, 'Σύνοψη'!$G$2:$G289=$B286, 'Σύνοψη'!$C$2:$C289=H$3)), IF(SUMPRODUCT(('Σύνοψη'!$F$2:$F289=$A286)*('Σύνοψη'!$C$2:$C289=H$3)*('Σύνοψη'!$G$2:$G289&lt;$B286)*('Σύνοψη'!$H$2:$H289&gt;$B286))&gt;0, CHAR(34), """") ), """")"),"")</f>
        <v/>
      </c>
      <c r="I286" s="3"/>
    </row>
    <row r="287" spans="1:9" x14ac:dyDescent="0.25">
      <c r="A287" s="95">
        <f t="shared" si="19"/>
        <v>46290</v>
      </c>
      <c r="B287" s="89">
        <v>0.79166666666666663</v>
      </c>
      <c r="C287" s="67" t="str">
        <f ca="1">IFERROR(__xludf.DUMMYFUNCTION("IFERROR(IF(SUMPRODUCT(('Σύνοψη'!$F$2:$F289=$A287)*('Σύνοψη'!$C$2:$C289=C$3)*('Σύνοψη'!$G$2:$G289=$B287))&gt;0,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'Σύνοψη'!$C$2:$C289=C$3)), IF(SUMPRODUCT(('Σύνοψη'!$F$2:$F289=$A287)*('Σύνοψη'!$C$2:$C289=C$3)*('Σύνοψη'!$G$2:$G289&lt;$B287)*('Σύνοψη'!$H$2:$H289&gt;$B287))&gt;0, CHAR(34), """") ), """")"),"")</f>
        <v/>
      </c>
      <c r="D287" s="67" t="str">
        <f ca="1">IFERROR(__xludf.DUMMYFUNCTION("IFERROR(IF(SUMPRODUCT(('Σύνοψη'!$F$2:$F289=$A287)*('Σύνοψη'!$C$2:$C289=D$3)*('Σύνοψη'!$G$2:$G289=$B287))&gt;0,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'Σύνοψη'!$C$2:$C289=D$3)), IF(SUMPRODUCT(('Σύνοψη'!$F$2:$F289=$A287)*('Σύνοψη'!$C$2:$C289=D$3)*('Σύνοψη'!$G$2:$G289&lt;$B287)*('Σύνοψη'!$H$2:$H289&gt;$B287))&gt;0, CHAR(34), """") ), """")"),"")</f>
        <v/>
      </c>
      <c r="E287" s="67" t="str">
        <f ca="1">IFERROR(__xludf.DUMMYFUNCTION("IFERROR(IF(SUMPRODUCT(('Σύνοψη'!$F$2:$F289=$A287)*('Σύνοψη'!$C$2:$C289=E$3)*('Σύνοψη'!$G$2:$G289=$B287))&gt;0,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'Σύνοψη'!$C$2:$C289=E$3)), IF(SUMPRODUCT(('Σύνοψη'!$F$2:$F289=$A287)*('Σύνοψη'!$C$2:$C289=E$3)*('Σύνοψη'!$G$2:$G289&lt;$B287)*('Σύνοψη'!$H$2:$H289&gt;$B287))&gt;0, CHAR(34), """") ), """")"),"")</f>
        <v/>
      </c>
      <c r="F287" s="67" t="str">
        <f ca="1">IFERROR(__xludf.DUMMYFUNCTION("IFERROR(IF(SUMPRODUCT(('Σύνοψη'!$F$2:$F289=$A287)*('Σύνοψη'!$C$2:$C289=F$3)*('Σύνοψη'!$G$2:$G289=$B287))&gt;0,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'Σύνοψη'!$C$2:$C289=F$3)), IF(SUMPRODUCT(('Σύνοψη'!$F$2:$F289=$A287)*('Σύνοψη'!$C$2:$C289=F$3)*('Σύνοψη'!$G$2:$G289&lt;$B287)*('Σύνοψη'!$H$2:$H289&gt;$B287))&gt;0, CHAR(34), """") ), """")"),"")</f>
        <v/>
      </c>
      <c r="G287" s="67" t="str">
        <f ca="1">IFERROR(__xludf.DUMMYFUNCTION("IFERROR(IF(SUMPRODUCT(('Σύνοψη'!$F$2:$F289=$A287)*('Σύνοψη'!$C$2:$C289=G$3)*('Σύνοψη'!$G$2:$G289=$B287))&gt;0,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'Σύνοψη'!$C$2:$C289=G$3)), IF(SUMPRODUCT(('Σύνοψη'!$F$2:$F289=$A287)*('Σύνοψη'!$C$2:$C289=G$3)*('Σύνοψη'!$G$2:$G289&lt;$B287)*('Σύνοψη'!$H$2:$H289&gt;$B287))&gt;0, CHAR(34), """") ), """")"),"")</f>
        <v/>
      </c>
      <c r="H287" s="67" t="str">
        <f ca="1">IFERROR(__xludf.DUMMYFUNCTION("IFERROR(IF(SUMPRODUCT(('Σύνοψη'!$F$2:$F289=$A287)*('Σύνοψη'!$C$2:$C289=H$3)*('Σύνοψη'!$G$2:$G289=$B287))&gt;0, TEXTJOIN(CHAR(10) &amp; ""-----------------------"" &amp; CHAR(10), TRUE, FILTER('Σύνοψη'!$E$2:$E289 &amp; "" - "" &amp; 'Σύνοψη'!$I$2:$I289 &amp; "" ("" &amp; 'Σύνοψη'!$J"&amp;"$2:$J289 &amp; "")"", 'Σύνοψη'!$F$2:$F289=$A287, 'Σύνοψη'!$G$2:$G289=$B287, 'Σύνοψη'!$C$2:$C289=H$3)), IF(SUMPRODUCT(('Σύνοψη'!$F$2:$F289=$A287)*('Σύνοψη'!$C$2:$C289=H$3)*('Σύνοψη'!$G$2:$G289&lt;$B287)*('Σύνοψη'!$H$2:$H289&gt;$B287))&gt;0, CHAR(34), """") ), """")"),"")</f>
        <v/>
      </c>
      <c r="I287" s="3"/>
    </row>
    <row r="288" spans="1:9" x14ac:dyDescent="0.25">
      <c r="A288" s="96">
        <f t="shared" si="19"/>
        <v>46290</v>
      </c>
      <c r="B288" s="97">
        <v>0.83333333333333337</v>
      </c>
      <c r="C288" s="67" t="str">
        <f ca="1">IFERROR(__xludf.DUMMYFUNCTION("IFERROR(IF(SUMPRODUCT(('Σύνοψη'!$F$2:$F289=$A288)*('Σύνοψη'!$C$2:$C289=C$3)*('Σύνοψη'!$G$2:$G289=$B288))&gt;0,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'Σύνοψη'!$C$2:$C289=C$3)), IF(SUMPRODUCT(('Σύνοψη'!$F$2:$F289=$A288)*('Σύνοψη'!$C$2:$C289=C$3)*('Σύνοψη'!$G$2:$G289&lt;$B288)*('Σύνοψη'!$H$2:$H289&gt;$B288))&gt;0, CHAR(34), """") ), """")"),"")</f>
        <v/>
      </c>
      <c r="D288" s="67" t="str">
        <f ca="1">IFERROR(__xludf.DUMMYFUNCTION("IFERROR(IF(SUMPRODUCT(('Σύνοψη'!$F$2:$F289=$A288)*('Σύνοψη'!$C$2:$C289=D$3)*('Σύνοψη'!$G$2:$G289=$B288))&gt;0,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'Σύνοψη'!$C$2:$C289=D$3)), IF(SUMPRODUCT(('Σύνοψη'!$F$2:$F289=$A288)*('Σύνοψη'!$C$2:$C289=D$3)*('Σύνοψη'!$G$2:$G289&lt;$B288)*('Σύνοψη'!$H$2:$H289&gt;$B288))&gt;0, CHAR(34), """") ), """")"),"")</f>
        <v/>
      </c>
      <c r="E288" s="67" t="str">
        <f ca="1">IFERROR(__xludf.DUMMYFUNCTION("IFERROR(IF(SUMPRODUCT(('Σύνοψη'!$F$2:$F289=$A288)*('Σύνοψη'!$C$2:$C289=E$3)*('Σύνοψη'!$G$2:$G289=$B288))&gt;0,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'Σύνοψη'!$C$2:$C289=E$3)), IF(SUMPRODUCT(('Σύνοψη'!$F$2:$F289=$A288)*('Σύνοψη'!$C$2:$C289=E$3)*('Σύνοψη'!$G$2:$G289&lt;$B288)*('Σύνοψη'!$H$2:$H289&gt;$B288))&gt;0, CHAR(34), """") ), """")"),"")</f>
        <v/>
      </c>
      <c r="F288" s="67" t="str">
        <f ca="1">IFERROR(__xludf.DUMMYFUNCTION("IFERROR(IF(SUMPRODUCT(('Σύνοψη'!$F$2:$F289=$A288)*('Σύνοψη'!$C$2:$C289=F$3)*('Σύνοψη'!$G$2:$G289=$B288))&gt;0,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'Σύνοψη'!$C$2:$C289=F$3)), IF(SUMPRODUCT(('Σύνοψη'!$F$2:$F289=$A288)*('Σύνοψη'!$C$2:$C289=F$3)*('Σύνοψη'!$G$2:$G289&lt;$B288)*('Σύνοψη'!$H$2:$H289&gt;$B288))&gt;0, CHAR(34), """") ), """")"),"")</f>
        <v/>
      </c>
      <c r="G288" s="67" t="str">
        <f ca="1">IFERROR(__xludf.DUMMYFUNCTION("IFERROR(IF(SUMPRODUCT(('Σύνοψη'!$F$2:$F289=$A288)*('Σύνοψη'!$C$2:$C289=G$3)*('Σύνοψη'!$G$2:$G289=$B288))&gt;0,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'Σύνοψη'!$C$2:$C289=G$3)), IF(SUMPRODUCT(('Σύνοψη'!$F$2:$F289=$A288)*('Σύνοψη'!$C$2:$C289=G$3)*('Σύνοψη'!$G$2:$G289&lt;$B288)*('Σύνοψη'!$H$2:$H289&gt;$B288))&gt;0, CHAR(34), """") ), """")"),"")</f>
        <v/>
      </c>
      <c r="H288" s="67" t="str">
        <f ca="1">IFERROR(__xludf.DUMMYFUNCTION("IFERROR(IF(SUMPRODUCT(('Σύνοψη'!$F$2:$F289=$A288)*('Σύνοψη'!$C$2:$C289=H$3)*('Σύνοψη'!$G$2:$G289=$B288))&gt;0, TEXTJOIN(CHAR(10) &amp; ""-----------------------"" &amp; CHAR(10), TRUE, FILTER('Σύνοψη'!$E$2:$E289 &amp; "" - "" &amp; 'Σύνοψη'!$I$2:$I289 &amp; "" ("" &amp; 'Σύνοψη'!$J"&amp;"$2:$J289 &amp; "")"", 'Σύνοψη'!$F$2:$F289=$A288, 'Σύνοψη'!$G$2:$G289=$B288, 'Σύνοψη'!$C$2:$C289=H$3)), IF(SUMPRODUCT(('Σύνοψη'!$F$2:$F289=$A288)*('Σύνοψη'!$C$2:$C289=H$3)*('Σύνοψη'!$G$2:$G289&lt;$B288)*('Σύνοψη'!$H$2:$H289&gt;$B288))&gt;0, CHAR(34), """") ), """")"),"")</f>
        <v/>
      </c>
      <c r="I288" s="3"/>
    </row>
    <row r="289" spans="1:9" x14ac:dyDescent="0.25">
      <c r="A289" s="95"/>
      <c r="B289" s="99"/>
      <c r="C289" s="69"/>
      <c r="D289" s="69"/>
      <c r="E289" s="69"/>
      <c r="F289" s="69"/>
      <c r="G289" s="69"/>
      <c r="H289" s="69"/>
      <c r="I289" s="3"/>
    </row>
  </sheetData>
  <conditionalFormatting sqref="A4:A289">
    <cfRule type="expression" dxfId="5" priority="1">
      <formula>A4&gt;$F$1</formula>
    </cfRule>
  </conditionalFormatting>
  <conditionalFormatting sqref="A4:H288">
    <cfRule type="expression" dxfId="4" priority="3">
      <formula>OR(WEEKDAY($A4)=1, WEEKDAY($A4)=7, A4=INDIRECT("Σύνοψη!$F$4"), A4=INDIRECT("Σύνοψη!$G$4"))</formula>
    </cfRule>
  </conditionalFormatting>
  <conditionalFormatting sqref="B4:B289">
    <cfRule type="expression" dxfId="3" priority="2">
      <formula>A4&gt;$F$1</formula>
    </cfRule>
  </conditionalFormatting>
  <dataValidations count="1">
    <dataValidation type="list" allowBlank="1" showDropDown="1" showErrorMessage="1" sqref="C3:H3">
      <formula1>"1ο Έτος,2ο Έτος,3ο Έτος,4ο Έτος,5ο Έτος,ΠΠΣ,Επί Πτυχίω"</formula1>
    </dataValidation>
  </dataValidations>
  <printOptions horizontalCentered="1" headings="1"/>
  <pageMargins left="0.25" right="0.25" top="0.75" bottom="0.75" header="0.3" footer="0.3"/>
  <pageSetup paperSize="9" scale="61" fitToHeight="0" pageOrder="overThenDown" orientation="landscape" errors="dash" r:id="rId1"/>
  <headerFooter>
    <oddHeader>&amp;F</oddHeader>
    <oddFooter>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6B26B"/>
    <outlinePr summaryBelow="0" summaryRight="0"/>
  </sheetPr>
  <dimension ref="A1:N204"/>
  <sheetViews>
    <sheetView workbookViewId="0">
      <pane xSplit="5" ySplit="7" topLeftCell="F106" activePane="bottomRight" state="frozen"/>
      <selection pane="topRight" activeCell="F1" sqref="F1"/>
      <selection pane="bottomLeft" activeCell="A8" sqref="A8"/>
      <selection pane="bottomRight" activeCell="M204" sqref="A204:M204"/>
    </sheetView>
  </sheetViews>
  <sheetFormatPr defaultColWidth="14.42578125" defaultRowHeight="15" customHeight="1" x14ac:dyDescent="0.25"/>
  <cols>
    <col min="1" max="1" width="11.140625" customWidth="1"/>
    <col min="2" max="2" width="16.5703125" customWidth="1"/>
    <col min="3" max="3" width="13.42578125" customWidth="1"/>
    <col min="4" max="4" width="15" hidden="1" customWidth="1"/>
    <col min="5" max="5" width="31.7109375" customWidth="1"/>
    <col min="6" max="6" width="16.85546875" customWidth="1"/>
    <col min="7" max="7" width="15.7109375" customWidth="1"/>
    <col min="8" max="8" width="14.7109375" customWidth="1"/>
    <col min="9" max="9" width="13.28515625" hidden="1" customWidth="1"/>
    <col min="10" max="10" width="18.85546875" customWidth="1"/>
    <col min="11" max="11" width="22.140625" customWidth="1"/>
    <col min="12" max="12" width="22.85546875" customWidth="1"/>
    <col min="13" max="13" width="71.5703125" customWidth="1"/>
    <col min="14" max="14" width="4.28515625" customWidth="1"/>
  </cols>
  <sheetData>
    <row r="1" spans="1:14" x14ac:dyDescent="0.25">
      <c r="A1" s="7"/>
      <c r="B1" s="8"/>
      <c r="C1" s="6"/>
      <c r="D1" s="6"/>
      <c r="E1" s="2"/>
      <c r="F1" s="9"/>
      <c r="G1" s="10"/>
      <c r="H1" s="9"/>
      <c r="I1" s="10"/>
      <c r="J1" s="9"/>
      <c r="K1" s="11"/>
      <c r="L1" s="11"/>
      <c r="M1" s="12"/>
      <c r="N1" s="13"/>
    </row>
    <row r="2" spans="1:14" ht="45" customHeight="1" x14ac:dyDescent="0.25">
      <c r="A2" s="13"/>
      <c r="B2" s="13"/>
      <c r="C2" s="52" t="s">
        <v>8</v>
      </c>
      <c r="D2" s="53"/>
      <c r="E2" s="54" t="s">
        <v>9</v>
      </c>
      <c r="F2" s="50" t="s">
        <v>10</v>
      </c>
      <c r="G2" s="107" t="str">
        <f ca="1">IFERROR(__xludf.DUMMYFUNCTION("TEXTJOIN("", "", TRUE, ARRAYFORMULA(TEXT(FILTER(SEQUENCE(E4-E3+1, 1, E3), WEEKDAY(SEQUENCE(E4-E3+1, 1, E3), 2) &gt; 5), ""dd/mm/yyyy"")))"),"05/09/2026, 06/09/2026, 12/09/2026, 13/09/2026")</f>
        <v>05/09/2026, 06/09/2026, 12/09/2026, 13/09/2026</v>
      </c>
      <c r="H2" s="108"/>
      <c r="I2" s="108"/>
      <c r="J2" s="109"/>
      <c r="K2" s="12"/>
      <c r="L2" s="12"/>
      <c r="M2" s="12"/>
      <c r="N2" s="13"/>
    </row>
    <row r="3" spans="1:14" ht="30" x14ac:dyDescent="0.25">
      <c r="A3" s="7"/>
      <c r="B3" s="8"/>
      <c r="C3" s="56" t="s">
        <v>11</v>
      </c>
      <c r="D3" s="53"/>
      <c r="E3" s="55">
        <v>46265</v>
      </c>
      <c r="F3" s="59"/>
      <c r="G3" s="60" t="s">
        <v>12</v>
      </c>
      <c r="H3" s="61" t="s">
        <v>13</v>
      </c>
      <c r="I3" s="44"/>
      <c r="J3" s="45"/>
      <c r="K3" s="12"/>
      <c r="L3" s="12"/>
      <c r="M3" s="12"/>
      <c r="N3" s="13"/>
    </row>
    <row r="4" spans="1:14" x14ac:dyDescent="0.25">
      <c r="A4" s="7"/>
      <c r="B4" s="8"/>
      <c r="C4" s="56" t="s">
        <v>14</v>
      </c>
      <c r="D4" s="53"/>
      <c r="E4" s="57">
        <v>46283</v>
      </c>
      <c r="F4" s="51" t="s">
        <v>15</v>
      </c>
      <c r="G4" s="48">
        <v>46417</v>
      </c>
      <c r="H4" s="49">
        <v>46559</v>
      </c>
      <c r="I4" s="44"/>
      <c r="J4" s="45"/>
      <c r="K4" s="12"/>
      <c r="L4" s="12"/>
      <c r="M4" s="12"/>
      <c r="N4" s="13"/>
    </row>
    <row r="5" spans="1:14" x14ac:dyDescent="0.25">
      <c r="A5" s="7"/>
      <c r="B5" s="8"/>
      <c r="C5" s="56" t="s">
        <v>16</v>
      </c>
      <c r="D5" s="53"/>
      <c r="E5" s="58" t="str">
        <f>ROUND((E4 - E3) / 7, 0) &amp; " " &amp; IF(ROUND((E4 - E3) / 7, 0) = 1, "εβδομάδα", "εβδομάδες")</f>
        <v>3 εβδομάδες</v>
      </c>
      <c r="F5" s="46"/>
      <c r="G5" s="46"/>
      <c r="H5" s="46"/>
      <c r="I5" s="46"/>
      <c r="J5" s="47"/>
      <c r="K5" s="12"/>
      <c r="L5" s="12"/>
      <c r="M5" s="12"/>
      <c r="N5" s="13"/>
    </row>
    <row r="6" spans="1:14" x14ac:dyDescent="0.25">
      <c r="A6" s="7"/>
      <c r="B6" s="8"/>
      <c r="C6" s="9"/>
      <c r="D6" s="9"/>
      <c r="E6" s="15"/>
      <c r="F6" s="110"/>
      <c r="G6" s="111"/>
      <c r="H6" s="111"/>
      <c r="I6" s="111"/>
      <c r="J6" s="111"/>
      <c r="K6" s="111"/>
      <c r="L6" s="16"/>
      <c r="M6" s="12"/>
      <c r="N6" s="13"/>
    </row>
    <row r="7" spans="1:14" ht="30" x14ac:dyDescent="0.25">
      <c r="A7" s="62" t="s">
        <v>17</v>
      </c>
      <c r="B7" s="17" t="s">
        <v>18</v>
      </c>
      <c r="C7" s="17" t="s">
        <v>19</v>
      </c>
      <c r="D7" s="17" t="s">
        <v>20</v>
      </c>
      <c r="E7" s="17" t="s">
        <v>21</v>
      </c>
      <c r="F7" s="18" t="s">
        <v>0</v>
      </c>
      <c r="G7" s="19" t="s">
        <v>22</v>
      </c>
      <c r="H7" s="19" t="s">
        <v>23</v>
      </c>
      <c r="I7" s="17" t="s">
        <v>1</v>
      </c>
      <c r="J7" s="18" t="s">
        <v>24</v>
      </c>
      <c r="K7" s="17" t="s">
        <v>25</v>
      </c>
      <c r="L7" s="17" t="s">
        <v>26</v>
      </c>
      <c r="M7" s="20" t="s">
        <v>27</v>
      </c>
      <c r="N7" s="13"/>
    </row>
    <row r="8" spans="1:14" ht="30" x14ac:dyDescent="0.25">
      <c r="A8" s="21" t="s">
        <v>2</v>
      </c>
      <c r="B8" s="43" t="s">
        <v>28</v>
      </c>
      <c r="C8" s="4" t="str">
        <f t="shared" ref="C8:C204" si="0">IF($E8="", "",
  IF($A8="ΠΠΣ", "Επί Πτυχίω",
  IF($E$2="Χειμερινού",
    IF($B8="Χειμερινό", $A8, "Επί Πτυχίω"),
  IF($E$2="Εαρινού",
    IF($B8="Εαρινό", $A8, "Επί Πτυχίω"),
  IF($E$2="Σεπτεμβρίου", $A8, "")
  )))
)</f>
        <v>1ο Έτος</v>
      </c>
      <c r="D8" s="22"/>
      <c r="E8" s="23" t="s">
        <v>29</v>
      </c>
      <c r="F8" s="14">
        <v>46272</v>
      </c>
      <c r="G8" s="24">
        <v>0.79166666666666663</v>
      </c>
      <c r="H8" s="24">
        <v>0.875</v>
      </c>
      <c r="I8" s="4" t="str">
        <f t="shared" ref="I8:I162" si="1">IF(G8="","",TEXT(G8, "hh:mm") &amp; " - " &amp; TEXT(H8, "hh:mm"))</f>
        <v>19:00 - 21:00</v>
      </c>
      <c r="J8" s="4" t="s">
        <v>30</v>
      </c>
      <c r="K8" s="25" t="str">
        <f ca="1">IFERROR(__xludf.DUMMYFUNCTION("IF($E8="""", """", IF(OR(IFERROR(REGEXMATCH(TEXT($F8, ""dd/mm/yyyy""), SUBSTITUTE($G$2, "", "", ""|"")), FALSE), $F8=$G$4, $F8=$H$4), ""Εξέταση σε σ/κ ή αργία"", """"))"),"")</f>
        <v/>
      </c>
      <c r="L8" s="25" t="str">
        <f ca="1">IFERROR(__xludf.DUMMYFUNCTION("IFERROR(IF(ISNUMBER(SEARCH(TEXTJOIN("", "", TRUE, FILTER($E$8:$E$204, $F$8:$F$204 = F8, $J$8:$J$204 = J8, $G$8:$G$204 &lt; H8, $H$8:$H$204 &gt; G8, ROW($E$8:$E$204) &lt;&gt; ROW(E8))), #REF!)), """", TEXTJOIN("", "", TRUE, FILTER($E$8:$E$204, $F$8:$F$204 = F8, $J$8:$"&amp;"J$204 = J8, $G$8:$G$204 &lt; H8, $H$8:$H$204 &gt; G8, ROW($E$8:$E$204) &lt;&gt; ROW(E8)))), """")"),"Αγγλική Κτηνιατρική Ορολογία ΙΙ")</f>
        <v>Αγγλική Κτηνιατρική Ορολογία ΙΙ</v>
      </c>
      <c r="M8" s="23" t="s">
        <v>31</v>
      </c>
      <c r="N8" s="13"/>
    </row>
    <row r="9" spans="1:14" x14ac:dyDescent="0.25">
      <c r="A9" s="21" t="s">
        <v>2</v>
      </c>
      <c r="B9" s="21" t="s">
        <v>28</v>
      </c>
      <c r="C9" s="4" t="str">
        <f t="shared" si="0"/>
        <v>1ο Έτος</v>
      </c>
      <c r="D9" s="22" t="s">
        <v>32</v>
      </c>
      <c r="E9" s="23" t="s">
        <v>33</v>
      </c>
      <c r="F9" s="14">
        <v>46280</v>
      </c>
      <c r="G9" s="26">
        <v>0.66666666666666663</v>
      </c>
      <c r="H9" s="24">
        <v>0.75</v>
      </c>
      <c r="I9" s="4" t="str">
        <f t="shared" si="1"/>
        <v>16:00 - 18:00</v>
      </c>
      <c r="J9" s="4" t="s">
        <v>30</v>
      </c>
      <c r="K9" s="25" t="str">
        <f ca="1">IFERROR(__xludf.DUMMYFUNCTION("IF($E9="""", """", IF(OR(IFERROR(REGEXMATCH(TEXT($F9, ""dd/mm/yyyy""), SUBSTITUTE($G$2, "", "", ""|"")), FALSE), $F9=$G$4, $F9=$H$4), ""Εξέταση σε σ/κ ή αργία"", """"))"),"")</f>
        <v/>
      </c>
      <c r="L9" s="25" t="str">
        <f ca="1">IFERROR(__xludf.DUMMYFUNCTION("IFERROR(IF(ISNUMBER(SEARCH(TEXTJOIN("", "", TRUE, FILTER($E$8:$E$204, $F$8:$F$204 = F9, $J$8:$J$204 = J9, $G$8:$G$204 &lt; H9, $H$8:$H$204 &gt; G9, ROW($E$8:$E$204) &lt;&gt; ROW(E9))), #REF!)), """", TEXTJOIN("", "", TRUE, FILTER($E$8:$E$204, $F$8:$F$204 = F9, $J$8:$"&amp;"J$204 = J9, $G$8:$G$204 &lt; H9, $H$8:$H$204 &gt; G9, ROW($E$8:$E$204) &lt;&gt; ROW(E9)))), """")"),"")</f>
        <v/>
      </c>
      <c r="M9" s="23"/>
      <c r="N9" s="13"/>
    </row>
    <row r="10" spans="1:14" x14ac:dyDescent="0.25">
      <c r="A10" s="21" t="s">
        <v>2</v>
      </c>
      <c r="B10" s="21" t="s">
        <v>28</v>
      </c>
      <c r="C10" s="4" t="str">
        <f t="shared" si="0"/>
        <v>1ο Έτος</v>
      </c>
      <c r="D10" s="22" t="s">
        <v>32</v>
      </c>
      <c r="E10" s="23" t="s">
        <v>34</v>
      </c>
      <c r="F10" s="14">
        <v>46280</v>
      </c>
      <c r="G10" s="26">
        <v>0.5</v>
      </c>
      <c r="H10" s="24">
        <v>0.625</v>
      </c>
      <c r="I10" s="4" t="str">
        <f t="shared" si="1"/>
        <v>12:00 - 15:00</v>
      </c>
      <c r="J10" s="4" t="s">
        <v>30</v>
      </c>
      <c r="K10" s="25" t="str">
        <f ca="1">IFERROR(__xludf.DUMMYFUNCTION("IF($E10="""", """", IF(OR(IFERROR(REGEXMATCH(TEXT($F10, ""dd/mm/yyyy""), SUBSTITUTE($G$2, "", "", ""|"")), FALSE), $F10=$G$4, $F10=$H$4), ""Εξέταση σε σ/κ ή αργία"", """"))"),"")</f>
        <v/>
      </c>
      <c r="L10" s="25" t="str">
        <f ca="1">IFERROR(__xludf.DUMMYFUNCTION("IFERROR(IF(ISNUMBER(SEARCH(TEXTJOIN("", "", TRUE, FILTER($E$8:$E$204, $F$8:$F$204 = F10, $J$8:$J$204 = J10, $G$8:$G$204 &lt; H10, $H$8:$H$204 &gt; G10, ROW($E$8:$E$204) &lt;&gt; ROW(E10))), #REF!)), """", TEXTJOIN("", "", TRUE, FILTER($E$8:$E$204, $F$8:$F$204 = F10, "&amp;"$J$8:$J$204 = J10, $G$8:$G$204 &lt; H10, $H$8:$H$204 &gt; G10, ROW($E$8:$E$204) &lt;&gt; ROW(E10)))), """")"),"")</f>
        <v/>
      </c>
      <c r="M10" s="23"/>
      <c r="N10" s="13"/>
    </row>
    <row r="11" spans="1:14" ht="45" x14ac:dyDescent="0.25">
      <c r="A11" s="21" t="s">
        <v>2</v>
      </c>
      <c r="B11" s="21" t="s">
        <v>28</v>
      </c>
      <c r="C11" s="4" t="str">
        <f t="shared" si="0"/>
        <v>1ο Έτος</v>
      </c>
      <c r="D11" s="22" t="s">
        <v>35</v>
      </c>
      <c r="E11" s="23" t="s">
        <v>36</v>
      </c>
      <c r="F11" s="14">
        <v>46266</v>
      </c>
      <c r="G11" s="26">
        <v>0.375</v>
      </c>
      <c r="H11" s="24">
        <v>0.45833333333333331</v>
      </c>
      <c r="I11" s="4" t="str">
        <f t="shared" si="1"/>
        <v>09:00 - 11:00</v>
      </c>
      <c r="J11" s="4" t="s">
        <v>30</v>
      </c>
      <c r="K11" s="25" t="str">
        <f ca="1">IFERROR(__xludf.DUMMYFUNCTION("IF($E11="""", """", IF(OR(IFERROR(REGEXMATCH(TEXT($F11, ""dd/mm/yyyy""), SUBSTITUTE($G$2, "", "", ""|"")), FALSE), $F11=$G$4, $F11=$H$4), ""Εξέταση σε σ/κ ή αργία"", """"))"),"")</f>
        <v/>
      </c>
      <c r="L11" s="25" t="str">
        <f ca="1">IFERROR(__xludf.DUMMYFUNCTION("IFERROR(IF(ISNUMBER(SEARCH(TEXTJOIN("", "", TRUE, FILTER($E$8:$E$204, $F$8:$F$204 = F11, $J$8:$J$204 = J11, $G$8:$G$204 &lt; H11, $H$8:$H$204 &gt; G11, ROW($E$8:$E$204) &lt;&gt; ROW(E11))), #REF!)), """", TEXTJOIN("", "", TRUE, FILTER($E$8:$E$204, $F$8:$F$204 = F11, "&amp;"$J$8:$J$204 = J11, $G$8:$G$204 &lt; H11, $H$8:$H$204 &gt; G11, ROW($E$8:$E$204) &lt;&gt; ROW(E11)))), """")"),"Αρχές Χημείας για Κτηνιατρική Επιστήμη (ΠΠΣ)")</f>
        <v>Αρχές Χημείας για Κτηνιατρική Επιστήμη (ΠΠΣ)</v>
      </c>
      <c r="M11" s="23" t="s">
        <v>37</v>
      </c>
      <c r="N11" s="13"/>
    </row>
    <row r="12" spans="1:14" ht="30" x14ac:dyDescent="0.25">
      <c r="A12" s="21" t="s">
        <v>2</v>
      </c>
      <c r="B12" s="21" t="s">
        <v>28</v>
      </c>
      <c r="C12" s="4" t="str">
        <f t="shared" si="0"/>
        <v>1ο Έτος</v>
      </c>
      <c r="D12" s="22" t="s">
        <v>32</v>
      </c>
      <c r="E12" s="23" t="s">
        <v>38</v>
      </c>
      <c r="F12" s="14">
        <v>46274</v>
      </c>
      <c r="G12" s="24">
        <v>0.625</v>
      </c>
      <c r="H12" s="24">
        <v>0.75</v>
      </c>
      <c r="I12" s="4" t="str">
        <f t="shared" si="1"/>
        <v>15:00 - 18:00</v>
      </c>
      <c r="J12" s="4" t="s">
        <v>39</v>
      </c>
      <c r="K12" s="25" t="str">
        <f ca="1">IFERROR(__xludf.DUMMYFUNCTION("IF($E12="""", """", IF(OR(IFERROR(REGEXMATCH(TEXT($F12, ""dd/mm/yyyy""), SUBSTITUTE($G$2, "", "", ""|"")), FALSE), $F12=$G$4, $F12=$H$4), ""Εξέταση σε σ/κ ή αργία"", """"))"),"")</f>
        <v/>
      </c>
      <c r="L12" s="25" t="str">
        <f ca="1">IFERROR(__xludf.DUMMYFUNCTION("IFERROR(IF(ISNUMBER(SEARCH(TEXTJOIN("", "", TRUE, FILTER($E$8:$E$204, $F$8:$F$204 = F12, $J$8:$J$204 = J12, $G$8:$G$204 &lt; H12, $H$8:$H$204 &gt; G12, ROW($E$8:$E$204) &lt;&gt; ROW(E12))), #REF!)), """", TEXTJOIN("", "", TRUE, FILTER($E$8:$E$204, $F$8:$F$204 = F12, "&amp;"$J$8:$J$204 = J12, $G$8:$G$204 &lt; H12, $H$8:$H$204 &gt; G12, ROW($E$8:$E$204) &lt;&gt; ROW(E12)))), """")"),"Διατροφή των ζώων (ΠΠΣ)")</f>
        <v>Διατροφή των ζώων (ΠΠΣ)</v>
      </c>
      <c r="M12" s="23" t="s">
        <v>40</v>
      </c>
      <c r="N12" s="13"/>
    </row>
    <row r="13" spans="1:14" ht="30" hidden="1" x14ac:dyDescent="0.25">
      <c r="A13" s="21" t="s">
        <v>2</v>
      </c>
      <c r="B13" s="21" t="s">
        <v>28</v>
      </c>
      <c r="C13" s="4" t="str">
        <f t="shared" si="0"/>
        <v>1ο Έτος</v>
      </c>
      <c r="D13" s="22" t="s">
        <v>32</v>
      </c>
      <c r="E13" s="23" t="s">
        <v>41</v>
      </c>
      <c r="F13" s="14"/>
      <c r="G13" s="24"/>
      <c r="H13" s="24"/>
      <c r="I13" s="4" t="str">
        <f t="shared" si="1"/>
        <v/>
      </c>
      <c r="J13" s="4"/>
      <c r="K13" s="25" t="str">
        <f ca="1">IFERROR(__xludf.DUMMYFUNCTION("IF($E13="""", """", IF(OR(IFERROR(REGEXMATCH(TEXT($F13, ""dd/mm/yyyy""), SUBSTITUTE($G$2, "", "", ""|"")), FALSE), $F13=$G$4, $F13=$H$4), ""Εξέταση σε σ/κ ή αργία"", """"))"),"")</f>
        <v/>
      </c>
      <c r="L13" s="25" t="str">
        <f ca="1">IFERROR(__xludf.DUMMYFUNCTION("IFERROR(IF(ISNUMBER(SEARCH(TEXTJOIN("", "", TRUE, FILTER($E$8:$E$204, $F$8:$F$204 = F13, $J$8:$J$204 = J13, $G$8:$G$204 &lt; H13, $H$8:$H$204 &gt; G13, ROW($E$8:$E$204) &lt;&gt; ROW(E13))), #REF!)), """", TEXTJOIN("", "", TRUE, FILTER($E$8:$E$204, $F$8:$F$204 = F13, "&amp;"$J$8:$J$204 = J13, $G$8:$G$204 &lt; H13, $H$8:$H$204 &gt; G13, ROW($E$8:$E$204) &lt;&gt; ROW(E13)))), """")"),"")</f>
        <v/>
      </c>
      <c r="M13" s="23"/>
      <c r="N13" s="13"/>
    </row>
    <row r="14" spans="1:14" ht="75" x14ac:dyDescent="0.25">
      <c r="A14" s="21" t="s">
        <v>2</v>
      </c>
      <c r="B14" s="21" t="s">
        <v>28</v>
      </c>
      <c r="C14" s="4" t="str">
        <f t="shared" si="0"/>
        <v>1ο Έτος</v>
      </c>
      <c r="D14" s="22" t="s">
        <v>32</v>
      </c>
      <c r="E14" s="23" t="s">
        <v>42</v>
      </c>
      <c r="F14" s="14">
        <v>46268</v>
      </c>
      <c r="G14" s="24">
        <v>0.625</v>
      </c>
      <c r="H14" s="24">
        <v>0.75</v>
      </c>
      <c r="I14" s="4" t="str">
        <f t="shared" si="1"/>
        <v>15:00 - 18:00</v>
      </c>
      <c r="J14" s="4" t="s">
        <v>39</v>
      </c>
      <c r="K14" s="25" t="str">
        <f ca="1">IFERROR(__xludf.DUMMYFUNCTION("IF($E14="""", """", IF(OR(IFERROR(REGEXMATCH(TEXT($F14, ""dd/mm/yyyy""), SUBSTITUTE($G$2, "", "", ""|"")), FALSE), $F14=$G$4, $F14=$H$4), ""Εξέταση σε σ/κ ή αργία"", """"))"),"")</f>
        <v/>
      </c>
      <c r="L14" s="25" t="str">
        <f ca="1">IFERROR(__xludf.DUMMYFUNCTION("IFERROR(IF(ISNUMBER(SEARCH(TEXTJOIN("", "", TRUE, FILTER($E$8:$E$204, $F$8:$F$204 = F14, $J$8:$J$204 = J14, $G$8:$G$204 &lt; H14, $H$8:$H$204 &gt; G14, ROW($E$8:$E$204) &lt;&gt; ROW(E14))), #REF!)), """", TEXTJOIN("", "", TRUE, FILTER($E$8:$E$204, $F$8:$F$204 = F14, "&amp;"$J$8:$J$204 = J14, $G$8:$G$204 &lt; H14, $H$8:$H$204 &gt; G14, ROW($E$8:$E$204) &lt;&gt; ROW(E14)))), """")"),"Ζωοτεχνία, Ηθολογία, Ευζωΐα &amp; Σχετική Νομοθεσία ΙΙ, Ζωοτεχνία, Ηθολογία..Ι, ΙΙ, ΙΙΙ (ΠΠΣ)")</f>
        <v>Ζωοτεχνία, Ηθολογία, Ευζωΐα &amp; Σχετική Νομοθεσία ΙΙ, Ζωοτεχνία, Ηθολογία..Ι, ΙΙ, ΙΙΙ (ΠΠΣ)</v>
      </c>
      <c r="M14" s="23" t="s">
        <v>43</v>
      </c>
      <c r="N14" s="13"/>
    </row>
    <row r="15" spans="1:14" ht="45" x14ac:dyDescent="0.25">
      <c r="A15" s="21" t="s">
        <v>2</v>
      </c>
      <c r="B15" s="21" t="s">
        <v>28</v>
      </c>
      <c r="C15" s="4" t="str">
        <f t="shared" si="0"/>
        <v>1ο Έτος</v>
      </c>
      <c r="D15" s="22" t="s">
        <v>44</v>
      </c>
      <c r="E15" s="23" t="s">
        <v>45</v>
      </c>
      <c r="F15" s="14">
        <v>46275</v>
      </c>
      <c r="G15" s="24">
        <v>0.625</v>
      </c>
      <c r="H15" s="24">
        <v>0.70833333333333337</v>
      </c>
      <c r="I15" s="4" t="str">
        <f t="shared" si="1"/>
        <v>15:00 - 17:00</v>
      </c>
      <c r="J15" s="4" t="s">
        <v>39</v>
      </c>
      <c r="K15" s="25" t="str">
        <f ca="1">IFERROR(__xludf.DUMMYFUNCTION("IF($E15="""", """", IF(OR(IFERROR(REGEXMATCH(TEXT($F15, ""dd/mm/yyyy""), SUBSTITUTE($G$2, "", "", ""|"")), FALSE), $F15=$G$4, $F15=$H$4), ""Εξέταση σε σ/κ ή αργία"", """"))"),"")</f>
        <v/>
      </c>
      <c r="L15" s="25" t="str">
        <f ca="1">IFERROR(__xludf.DUMMYFUNCTION("IFERROR(IF(ISNUMBER(SEARCH(TEXTJOIN("", "", TRUE, FILTER($E$8:$E$204, $F$8:$F$204 = F15, $J$8:$J$204 = J15, $G$8:$G$204 &lt; H15, $H$8:$H$204 &gt; G15, ROW($E$8:$E$204) &lt;&gt; ROW(E15))), #REF!)), """", TEXTJOIN("", "", TRUE, FILTER($E$8:$E$204, $F$8:$F$204 = F15, "&amp;"$J$8:$J$204 = J15, $G$8:$G$204 &lt; H15, $H$8:$H$204 &gt; G15, ROW($E$8:$E$204) &lt;&gt; ROW(E15)))), """")"),"Μακροσκοπική Ανατομική Ι (ΠΠΣ) (Θεωρία)")</f>
        <v>Μακροσκοπική Ανατομική Ι (ΠΠΣ) (Θεωρία)</v>
      </c>
      <c r="M15" s="23" t="s">
        <v>46</v>
      </c>
      <c r="N15" s="13"/>
    </row>
    <row r="16" spans="1:14" ht="45" x14ac:dyDescent="0.25">
      <c r="A16" s="21" t="s">
        <v>2</v>
      </c>
      <c r="B16" s="21" t="s">
        <v>28</v>
      </c>
      <c r="C16" s="4" t="str">
        <f t="shared" si="0"/>
        <v>1ο Έτος</v>
      </c>
      <c r="D16" s="22" t="s">
        <v>44</v>
      </c>
      <c r="E16" s="23" t="s">
        <v>47</v>
      </c>
      <c r="F16" s="14">
        <v>46274</v>
      </c>
      <c r="G16" s="24">
        <v>0.375</v>
      </c>
      <c r="H16" s="24">
        <v>0.5</v>
      </c>
      <c r="I16" s="4" t="str">
        <f t="shared" si="1"/>
        <v>09:00 - 12:00</v>
      </c>
      <c r="J16" s="4" t="s">
        <v>48</v>
      </c>
      <c r="K16" s="25" t="str">
        <f ca="1">IFERROR(__xludf.DUMMYFUNCTION("IF($E16="""", """", IF(OR(IFERROR(REGEXMATCH(TEXT($F16, ""dd/mm/yyyy""), SUBSTITUTE($G$2, "", "", ""|"")), FALSE), $F16=$G$4, $F16=$H$4), ""Εξέταση σε σ/κ ή αργία"", """"))"),"")</f>
        <v/>
      </c>
      <c r="L16" s="25" t="str">
        <f ca="1">IFERROR(__xludf.DUMMYFUNCTION("IFERROR(IF(ISNUMBER(SEARCH(TEXTJOIN("", "", TRUE, FILTER($E$8:$E$204, $F$8:$F$204 = F16, $J$8:$J$204 = J16, $G$8:$G$204 &lt; H16, $H$8:$H$204 &gt; G16, ROW($E$8:$E$204) &lt;&gt; ROW(E16))), #REF!)), """", TEXTJOIN("", "", TRUE, FILTER($E$8:$E$204, $F$8:$F$204 = F16, "&amp;"$J$8:$J$204 = J16, $G$8:$G$204 &lt; H16, $H$8:$H$204 &gt; G16, ROW($E$8:$E$204) &lt;&gt; ROW(E16)))), """")"),"Μακροσκοπική Ανατομική Ι (ΠΠΣ) (Πρακτικά)")</f>
        <v>Μακροσκοπική Ανατομική Ι (ΠΠΣ) (Πρακτικά)</v>
      </c>
      <c r="M16" s="23" t="s">
        <v>49</v>
      </c>
      <c r="N16" s="13"/>
    </row>
    <row r="17" spans="1:14" ht="45" x14ac:dyDescent="0.25">
      <c r="A17" s="21" t="s">
        <v>2</v>
      </c>
      <c r="B17" s="21" t="s">
        <v>28</v>
      </c>
      <c r="C17" s="4" t="str">
        <f t="shared" si="0"/>
        <v>1ο Έτος</v>
      </c>
      <c r="D17" s="22" t="s">
        <v>44</v>
      </c>
      <c r="E17" s="23" t="s">
        <v>50</v>
      </c>
      <c r="F17" s="14">
        <v>46282</v>
      </c>
      <c r="G17" s="24">
        <v>0.5</v>
      </c>
      <c r="H17" s="24">
        <v>0.58333333333333337</v>
      </c>
      <c r="I17" s="4" t="str">
        <f t="shared" si="1"/>
        <v>12:00 - 14:00</v>
      </c>
      <c r="J17" s="4" t="s">
        <v>30</v>
      </c>
      <c r="K17" s="25" t="str">
        <f ca="1">IFERROR(__xludf.DUMMYFUNCTION("IF($E17="""", """", IF(OR(IFERROR(REGEXMATCH(TEXT($F17, ""dd/mm/yyyy""), SUBSTITUTE($G$2, "", "", ""|"")), FALSE), $F17=$G$4, $F17=$H$4), ""Εξέταση σε σ/κ ή αργία"", """"))"),"")</f>
        <v/>
      </c>
      <c r="L17" s="25" t="str">
        <f ca="1">IFERROR(__xludf.DUMMYFUNCTION("IFERROR(IF(ISNUMBER(SEARCH(TEXTJOIN("", "", TRUE, FILTER($E$8:$E$204, $F$8:$F$204 = F17, $J$8:$J$204 = J17, $G$8:$G$204 &lt; H17, $H$8:$H$204 &gt; G17, ROW($E$8:$E$204) &lt;&gt; ROW(E17))), #REF!)), """", TEXTJOIN("", "", TRUE, FILTER($E$8:$E$204, $F$8:$F$204 = F17, "&amp;"$J$8:$J$204 = J17, $G$8:$G$204 &lt; H17, $H$8:$H$204 &gt; G17, ROW($E$8:$E$204) &lt;&gt; ROW(E17)))), """")"),"Μικροσκοπική Ανατομική Ι (ΠΠΣ) (Θεωρία)")</f>
        <v>Μικροσκοπική Ανατομική Ι (ΠΠΣ) (Θεωρία)</v>
      </c>
      <c r="M17" s="23" t="s">
        <v>51</v>
      </c>
      <c r="N17" s="13"/>
    </row>
    <row r="18" spans="1:14" ht="45" x14ac:dyDescent="0.25">
      <c r="A18" s="21" t="s">
        <v>2</v>
      </c>
      <c r="B18" s="21" t="s">
        <v>28</v>
      </c>
      <c r="C18" s="4" t="str">
        <f t="shared" si="0"/>
        <v>1ο Έτος</v>
      </c>
      <c r="D18" s="22" t="s">
        <v>44</v>
      </c>
      <c r="E18" s="23" t="s">
        <v>52</v>
      </c>
      <c r="F18" s="14">
        <v>46281</v>
      </c>
      <c r="G18" s="24">
        <v>0.5</v>
      </c>
      <c r="H18" s="24">
        <v>0.58333333333333337</v>
      </c>
      <c r="I18" s="4" t="str">
        <f t="shared" si="1"/>
        <v>12:00 - 14:00</v>
      </c>
      <c r="J18" s="4" t="s">
        <v>39</v>
      </c>
      <c r="K18" s="25" t="str">
        <f ca="1">IFERROR(__xludf.DUMMYFUNCTION("IF($E18="""", """", IF(OR(IFERROR(REGEXMATCH(TEXT($F18, ""dd/mm/yyyy""), SUBSTITUTE($G$2, "", "", ""|"")), FALSE), $F18=$G$4, $F18=$H$4), ""Εξέταση σε σ/κ ή αργία"", """"))"),"")</f>
        <v/>
      </c>
      <c r="L18" s="25" t="str">
        <f ca="1">IFERROR(__xludf.DUMMYFUNCTION("IFERROR(IF(ISNUMBER(SEARCH(TEXTJOIN("", "", TRUE, FILTER($E$8:$E$204, $F$8:$F$204 = F18, $J$8:$J$204 = J18, $G$8:$G$204 &lt; H18, $H$8:$H$204 &gt; G18, ROW($E$8:$E$204) &lt;&gt; ROW(E18))), #REF!)), """", TEXTJOIN("", "", TRUE, FILTER($E$8:$E$204, $F$8:$F$204 = F18, "&amp;"$J$8:$J$204 = J18, $G$8:$G$204 &lt; H18, $H$8:$H$204 &gt; G18, ROW($E$8:$E$204) &lt;&gt; ROW(E18)))), """")"),"Μικροσκοπική Ανατομική Ι (ΠΠΣ) (Πρακτικά)")</f>
        <v>Μικροσκοπική Ανατομική Ι (ΠΠΣ) (Πρακτικά)</v>
      </c>
      <c r="M18" s="23" t="s">
        <v>53</v>
      </c>
      <c r="N18" s="13"/>
    </row>
    <row r="19" spans="1:14" ht="30" x14ac:dyDescent="0.25">
      <c r="A19" s="21" t="s">
        <v>2</v>
      </c>
      <c r="B19" s="21" t="s">
        <v>28</v>
      </c>
      <c r="C19" s="4" t="str">
        <f t="shared" si="0"/>
        <v>1ο Έτος</v>
      </c>
      <c r="D19" s="22"/>
      <c r="E19" s="23" t="s">
        <v>54</v>
      </c>
      <c r="F19" s="14">
        <v>46267</v>
      </c>
      <c r="G19" s="24">
        <v>0.375</v>
      </c>
      <c r="H19" s="24">
        <v>0.45833333333333331</v>
      </c>
      <c r="I19" s="4" t="str">
        <f t="shared" si="1"/>
        <v>09:00 - 11:00</v>
      </c>
      <c r="J19" s="4" t="s">
        <v>30</v>
      </c>
      <c r="K19" s="25" t="str">
        <f ca="1">IFERROR(__xludf.DUMMYFUNCTION("IF($E19="""", """", IF(OR(IFERROR(REGEXMATCH(TEXT($F19, ""dd/mm/yyyy""), SUBSTITUTE($G$2, "", "", ""|"")), FALSE), $F19=$G$4, $F19=$H$4), ""Εξέταση σε σ/κ ή αργία"", """"))"),"")</f>
        <v/>
      </c>
      <c r="L19" s="25" t="str">
        <f ca="1">IFERROR(__xludf.DUMMYFUNCTION("IFERROR(IF(ISNUMBER(SEARCH(TEXTJOIN("", "", TRUE, FILTER($E$8:$E$204, $F$8:$F$204 = F19, $J$8:$J$204 = J19, $G$8:$G$204 &lt; H19, $H$8:$H$204 &gt; G19, ROW($E$8:$E$204) &lt;&gt; ROW(E19))), #REF!)), """", TEXTJOIN("", "", TRUE, FILTER($E$8:$E$204, $F$8:$F$204 = F19, "&amp;"$J$8:$J$204 = J19, $G$8:$G$204 &lt; H19, $H$8:$H$204 &gt; G19, ROW($E$8:$E$204) &lt;&gt; ROW(E19)))), """")"),"Κυτταρική &amp; Μοριακή Βιολογία")</f>
        <v>Κυτταρική &amp; Μοριακή Βιολογία</v>
      </c>
      <c r="M19" s="23"/>
      <c r="N19" s="13"/>
    </row>
    <row r="20" spans="1:14" x14ac:dyDescent="0.25">
      <c r="A20" s="21" t="s">
        <v>2</v>
      </c>
      <c r="B20" s="21" t="s">
        <v>28</v>
      </c>
      <c r="C20" s="4" t="str">
        <f t="shared" si="0"/>
        <v>1ο Έτος</v>
      </c>
      <c r="D20" s="22" t="s">
        <v>32</v>
      </c>
      <c r="E20" s="23" t="s">
        <v>55</v>
      </c>
      <c r="F20" s="14">
        <v>46265</v>
      </c>
      <c r="G20" s="24">
        <v>0.5</v>
      </c>
      <c r="H20" s="24">
        <v>0.625</v>
      </c>
      <c r="I20" s="4" t="str">
        <f t="shared" si="1"/>
        <v>12:00 - 15:00</v>
      </c>
      <c r="J20" s="4" t="s">
        <v>39</v>
      </c>
      <c r="K20" s="25" t="str">
        <f ca="1">IFERROR(__xludf.DUMMYFUNCTION("IF($E20="""", """", IF(OR(IFERROR(REGEXMATCH(TEXT($F20, ""dd/mm/yyyy""), SUBSTITUTE($G$2, "", "", ""|"")), FALSE), $F20=$G$4, $F20=$H$4), ""Εξέταση σε σ/κ ή αργία"", """"))"),"")</f>
        <v/>
      </c>
      <c r="L20" s="25" t="str">
        <f ca="1">IFERROR(__xludf.DUMMYFUNCTION("IFERROR(IF(ISNUMBER(SEARCH(TEXTJOIN("", "", TRUE, FILTER($E$8:$E$204, $F$8:$F$204 = F20, $J$8:$J$204 = J20, $G$8:$G$204 &lt; H20, $H$8:$H$204 &gt; G20, ROW($E$8:$E$204) &lt;&gt; ROW(E20))), #REF!)), """", TEXTJOIN("", "", TRUE, FILTER($E$8:$E$204, $F$8:$F$204 = F20, "&amp;"$J$8:$J$204 = J20, $G$8:$G$204 &lt; H20, $H$8:$H$204 &gt; G20, ROW($E$8:$E$204) &lt;&gt; ROW(E20)))), """")"),"")</f>
        <v/>
      </c>
      <c r="M20" s="23"/>
      <c r="N20" s="13"/>
    </row>
    <row r="21" spans="1:14" ht="30" x14ac:dyDescent="0.25">
      <c r="A21" s="21" t="s">
        <v>2</v>
      </c>
      <c r="B21" s="21" t="s">
        <v>56</v>
      </c>
      <c r="C21" s="4" t="str">
        <f t="shared" si="0"/>
        <v>1ο Έτος</v>
      </c>
      <c r="D21" s="22"/>
      <c r="E21" s="23" t="s">
        <v>31</v>
      </c>
      <c r="F21" s="14">
        <v>46272</v>
      </c>
      <c r="G21" s="24">
        <v>0.79166666666666663</v>
      </c>
      <c r="H21" s="24">
        <v>0.875</v>
      </c>
      <c r="I21" s="4" t="str">
        <f t="shared" si="1"/>
        <v>19:00 - 21:00</v>
      </c>
      <c r="J21" s="4" t="s">
        <v>30</v>
      </c>
      <c r="K21" s="25" t="str">
        <f ca="1">IFERROR(__xludf.DUMMYFUNCTION("IF($E21="""", """", IF(OR(IFERROR(REGEXMATCH(TEXT($F21, ""dd/mm/yyyy""), SUBSTITUTE($G$2, "", "", ""|"")), FALSE), $F21=$G$4, $F21=$H$4), ""Εξέταση σε σ/κ ή αργία"", """"))"),"")</f>
        <v/>
      </c>
      <c r="L21" s="25" t="str">
        <f ca="1">IFERROR(__xludf.DUMMYFUNCTION("IFERROR(IF(ISNUMBER(SEARCH(TEXTJOIN("", "", TRUE, FILTER($E$8:$E$204, $F$8:$F$204 = F21, $J$8:$J$204 = J21, $G$8:$G$204 &lt; H21, $H$8:$H$204 &gt; G21, ROW($E$8:$E$204) &lt;&gt; ROW(E21))), #REF!)), """", TEXTJOIN("", "", TRUE, FILTER($E$8:$E$204, $F$8:$F$204 = F21, "&amp;"$J$8:$J$204 = J21, $G$8:$G$204 &lt; H21, $H$8:$H$204 &gt; G21, ROW($E$8:$E$204) &lt;&gt; ROW(E21)))), """")"),"Αγγλική Κτηνιατρική Ορολογία Ι")</f>
        <v>Αγγλική Κτηνιατρική Ορολογία Ι</v>
      </c>
      <c r="M21" s="23" t="s">
        <v>31</v>
      </c>
      <c r="N21" s="13"/>
    </row>
    <row r="22" spans="1:14" x14ac:dyDescent="0.25">
      <c r="A22" s="21" t="s">
        <v>2</v>
      </c>
      <c r="B22" s="21" t="s">
        <v>56</v>
      </c>
      <c r="C22" s="4" t="str">
        <f t="shared" si="0"/>
        <v>1ο Έτος</v>
      </c>
      <c r="D22" s="22" t="s">
        <v>35</v>
      </c>
      <c r="E22" s="23" t="s">
        <v>57</v>
      </c>
      <c r="F22" s="14">
        <v>46269</v>
      </c>
      <c r="G22" s="24">
        <v>0.375</v>
      </c>
      <c r="H22" s="24">
        <v>0.45833333333333331</v>
      </c>
      <c r="I22" s="4" t="str">
        <f t="shared" si="1"/>
        <v>09:00 - 11:00</v>
      </c>
      <c r="J22" s="4" t="s">
        <v>30</v>
      </c>
      <c r="K22" s="25" t="str">
        <f ca="1">IFERROR(__xludf.DUMMYFUNCTION("IF($E22="""", """", IF(OR(IFERROR(REGEXMATCH(TEXT($F22, ""dd/mm/yyyy""), SUBSTITUTE($G$2, "", "", ""|"")), FALSE), $F22=$G$4, $F22=$H$4), ""Εξέταση σε σ/κ ή αργία"", """"))"),"")</f>
        <v/>
      </c>
      <c r="L22" s="25" t="str">
        <f ca="1">IFERROR(__xludf.DUMMYFUNCTION("IFERROR(IF(ISNUMBER(SEARCH(TEXTJOIN("", "", TRUE, FILTER($E$8:$E$204, $F$8:$F$204 = F22, $J$8:$J$204 = J22, $G$8:$G$204 &lt; H22, $H$8:$H$204 &gt; G22, ROW($E$8:$E$204) &lt;&gt; ROW(E22))), #REF!)), """", TEXTJOIN("", "", TRUE, FILTER($E$8:$E$204, $F$8:$F$204 = F22, "&amp;"$J$8:$J$204 = J22, $G$8:$G$204 &lt; H22, $H$8:$H$204 &gt; G22, ROW($E$8:$E$204) &lt;&gt; ROW(E22)))), """")"),"Βιοχημεία (ΠΠΣ)")</f>
        <v>Βιοχημεία (ΠΠΣ)</v>
      </c>
      <c r="M22" s="23" t="s">
        <v>58</v>
      </c>
      <c r="N22" s="13"/>
    </row>
    <row r="23" spans="1:14" ht="75" x14ac:dyDescent="0.25">
      <c r="A23" s="21" t="s">
        <v>2</v>
      </c>
      <c r="B23" s="21" t="s">
        <v>56</v>
      </c>
      <c r="C23" s="4" t="str">
        <f t="shared" si="0"/>
        <v>1ο Έτος</v>
      </c>
      <c r="D23" s="22" t="s">
        <v>32</v>
      </c>
      <c r="E23" s="23" t="s">
        <v>59</v>
      </c>
      <c r="F23" s="14">
        <v>46268</v>
      </c>
      <c r="G23" s="24">
        <v>0.625</v>
      </c>
      <c r="H23" s="24">
        <v>0.75</v>
      </c>
      <c r="I23" s="4" t="str">
        <f t="shared" si="1"/>
        <v>15:00 - 18:00</v>
      </c>
      <c r="J23" s="4" t="s">
        <v>39</v>
      </c>
      <c r="K23" s="25" t="str">
        <f ca="1">IFERROR(__xludf.DUMMYFUNCTION("IF($E23="""", """", IF(OR(IFERROR(REGEXMATCH(TEXT($F23, ""dd/mm/yyyy""), SUBSTITUTE($G$2, "", "", ""|"")), FALSE), $F23=$G$4, $F23=$H$4), ""Εξέταση σε σ/κ ή αργία"", """"))"),"")</f>
        <v/>
      </c>
      <c r="L23" s="25" t="str">
        <f ca="1">IFERROR(__xludf.DUMMYFUNCTION("IFERROR(IF(ISNUMBER(SEARCH(TEXTJOIN("", "", TRUE, FILTER($E$8:$E$204, $F$8:$F$204 = F23, $J$8:$J$204 = J23, $G$8:$G$204 &lt; H23, $H$8:$H$204 &gt; G23, ROW($E$8:$E$204) &lt;&gt; ROW(E23))), #REF!)), """", TEXTJOIN("", "", TRUE, FILTER($E$8:$E$204, $F$8:$F$204 = F23, "&amp;"$J$8:$J$204 = J23, $G$8:$G$204 &lt; H23, $H$8:$H$204 &gt; G23, ROW($E$8:$E$204) &lt;&gt; ROW(E23)))), """")"),"Ζωοτεχνία, Ηθολογία, Ευζωΐα &amp; Σχετική Νομοθεσία Ι, Ζωοτεχνία, Ηθολογία..Ι, ΙΙ, ΙΙΙ (ΠΠΣ)")</f>
        <v>Ζωοτεχνία, Ηθολογία, Ευζωΐα &amp; Σχετική Νομοθεσία Ι, Ζωοτεχνία, Ηθολογία..Ι, ΙΙ, ΙΙΙ (ΠΠΣ)</v>
      </c>
      <c r="M23" s="23" t="s">
        <v>60</v>
      </c>
      <c r="N23" s="13"/>
    </row>
    <row r="24" spans="1:14" ht="45" x14ac:dyDescent="0.25">
      <c r="A24" s="21" t="s">
        <v>2</v>
      </c>
      <c r="B24" s="21" t="s">
        <v>56</v>
      </c>
      <c r="C24" s="4" t="str">
        <f t="shared" si="0"/>
        <v>1ο Έτος</v>
      </c>
      <c r="D24" s="22" t="s">
        <v>44</v>
      </c>
      <c r="E24" s="23" t="s">
        <v>61</v>
      </c>
      <c r="F24" s="14">
        <v>46273</v>
      </c>
      <c r="G24" s="24">
        <v>0.625</v>
      </c>
      <c r="H24" s="24">
        <v>0.70833333333333337</v>
      </c>
      <c r="I24" s="4" t="str">
        <f t="shared" si="1"/>
        <v>15:00 - 17:00</v>
      </c>
      <c r="J24" s="4" t="s">
        <v>39</v>
      </c>
      <c r="K24" s="25" t="str">
        <f ca="1">IFERROR(__xludf.DUMMYFUNCTION("IF($E24="""", """", IF(OR(IFERROR(REGEXMATCH(TEXT($F24, ""dd/mm/yyyy""), SUBSTITUTE($G$2, "", "", ""|"")), FALSE), $F24=$G$4, $F24=$H$4), ""Εξέταση σε σ/κ ή αργία"", """"))"),"")</f>
        <v/>
      </c>
      <c r="L24" s="25" t="str">
        <f ca="1">IFERROR(__xludf.DUMMYFUNCTION("IFERROR(IF(ISNUMBER(SEARCH(TEXTJOIN("", "", TRUE, FILTER($E$8:$E$204, $F$8:$F$204 = F24, $J$8:$J$204 = J24, $G$8:$G$204 &lt; H24, $H$8:$H$204 &gt; G24, ROW($E$8:$E$204) &lt;&gt; ROW(E24))), #REF!)), """", TEXTJOIN("", "", TRUE, FILTER($E$8:$E$204, $F$8:$F$204 = F24, "&amp;"$J$8:$J$204 = J24, $G$8:$G$204 &lt; H24, $H$8:$H$204 &gt; G24, ROW($E$8:$E$204) &lt;&gt; ROW(E24)))), """")"),"Μακροσκοπική Ανατομική ΙΙ (ΠΠΣ) (Θεωρία)")</f>
        <v>Μακροσκοπική Ανατομική ΙΙ (ΠΠΣ) (Θεωρία)</v>
      </c>
      <c r="M24" s="23" t="s">
        <v>62</v>
      </c>
      <c r="N24" s="13"/>
    </row>
    <row r="25" spans="1:14" ht="45" x14ac:dyDescent="0.25">
      <c r="A25" s="21" t="s">
        <v>2</v>
      </c>
      <c r="B25" s="21" t="s">
        <v>56</v>
      </c>
      <c r="C25" s="4" t="str">
        <f t="shared" si="0"/>
        <v>1ο Έτος</v>
      </c>
      <c r="D25" s="22" t="s">
        <v>44</v>
      </c>
      <c r="E25" s="23" t="s">
        <v>63</v>
      </c>
      <c r="F25" s="14">
        <v>46273</v>
      </c>
      <c r="G25" s="24">
        <v>0.375</v>
      </c>
      <c r="H25" s="24">
        <v>0.5</v>
      </c>
      <c r="I25" s="4" t="str">
        <f t="shared" si="1"/>
        <v>09:00 - 12:00</v>
      </c>
      <c r="J25" s="4" t="s">
        <v>48</v>
      </c>
      <c r="K25" s="25" t="str">
        <f ca="1">IFERROR(__xludf.DUMMYFUNCTION("IF($E25="""", """", IF(OR(IFERROR(REGEXMATCH(TEXT($F25, ""dd/mm/yyyy""), SUBSTITUTE($G$2, "", "", ""|"")), FALSE), $F25=$G$4, $F25=$H$4), ""Εξέταση σε σ/κ ή αργία"", """"))"),"")</f>
        <v/>
      </c>
      <c r="L25" s="25" t="str">
        <f ca="1">IFERROR(__xludf.DUMMYFUNCTION("IFERROR(IF(ISNUMBER(SEARCH(TEXTJOIN("", "", TRUE, FILTER($E$8:$E$204, $F$8:$F$204 = F25, $J$8:$J$204 = J25, $G$8:$G$204 &lt; H25, $H$8:$H$204 &gt; G25, ROW($E$8:$E$204) &lt;&gt; ROW(E25))), #REF!)), """", TEXTJOIN("", "", TRUE, FILTER($E$8:$E$204, $F$8:$F$204 = F25, "&amp;"$J$8:$J$204 = J25, $G$8:$G$204 &lt; H25, $H$8:$H$204 &gt; G25, ROW($E$8:$E$204) &lt;&gt; ROW(E25)))), """")"),"Μακροσκοπική Ανατομική ΙΙ (ΠΠΣ) (Πρακτικά)")</f>
        <v>Μακροσκοπική Ανατομική ΙΙ (ΠΠΣ) (Πρακτικά)</v>
      </c>
      <c r="M25" s="23" t="s">
        <v>64</v>
      </c>
      <c r="N25" s="13"/>
    </row>
    <row r="26" spans="1:14" ht="45" x14ac:dyDescent="0.25">
      <c r="A26" s="21" t="s">
        <v>2</v>
      </c>
      <c r="B26" s="21" t="s">
        <v>56</v>
      </c>
      <c r="C26" s="4" t="str">
        <f t="shared" si="0"/>
        <v>1ο Έτος</v>
      </c>
      <c r="D26" s="22" t="s">
        <v>44</v>
      </c>
      <c r="E26" s="23" t="s">
        <v>65</v>
      </c>
      <c r="F26" s="14">
        <v>46279</v>
      </c>
      <c r="G26" s="24">
        <v>0.5</v>
      </c>
      <c r="H26" s="24">
        <v>0.58333333333333337</v>
      </c>
      <c r="I26" s="4" t="str">
        <f t="shared" si="1"/>
        <v>12:00 - 14:00</v>
      </c>
      <c r="J26" s="4" t="s">
        <v>39</v>
      </c>
      <c r="K26" s="25" t="str">
        <f ca="1">IFERROR(__xludf.DUMMYFUNCTION("IF($E26="""", """", IF(OR(IFERROR(REGEXMATCH(TEXT($F26, ""dd/mm/yyyy""), SUBSTITUTE($G$2, "", "", ""|"")), FALSE), $F26=$G$4, $F26=$H$4), ""Εξέταση σε σ/κ ή αργία"", """"))"),"")</f>
        <v/>
      </c>
      <c r="L26" s="25" t="str">
        <f ca="1">IFERROR(__xludf.DUMMYFUNCTION("IFERROR(IF(ISNUMBER(SEARCH(TEXTJOIN("", "", TRUE, FILTER($E$8:$E$204, $F$8:$F$204 = F26, $J$8:$J$204 = J26, $G$8:$G$204 &lt; H26, $H$8:$H$204 &gt; G26, ROW($E$8:$E$204) &lt;&gt; ROW(E26))), #REF!)), """", TEXTJOIN("", "", TRUE, FILTER($E$8:$E$204, $F$8:$F$204 = F26, "&amp;"$J$8:$J$204 = J26, $G$8:$G$204 &lt; H26, $H$8:$H$204 &gt; G26, ROW($E$8:$E$204) &lt;&gt; ROW(E26)))), """")"),"Μικροσκοπική Ανατομική ΙΙ (ΠΠΣ) (Θεωρία)")</f>
        <v>Μικροσκοπική Ανατομική ΙΙ (ΠΠΣ) (Θεωρία)</v>
      </c>
      <c r="M26" s="23" t="s">
        <v>66</v>
      </c>
      <c r="N26" s="13"/>
    </row>
    <row r="27" spans="1:14" ht="45" x14ac:dyDescent="0.25">
      <c r="A27" s="21" t="s">
        <v>2</v>
      </c>
      <c r="B27" s="21" t="s">
        <v>56</v>
      </c>
      <c r="C27" s="4" t="str">
        <f t="shared" si="0"/>
        <v>1ο Έτος</v>
      </c>
      <c r="D27" s="22" t="s">
        <v>44</v>
      </c>
      <c r="E27" s="23" t="s">
        <v>67</v>
      </c>
      <c r="F27" s="14">
        <v>46279</v>
      </c>
      <c r="G27" s="24">
        <v>0.375</v>
      </c>
      <c r="H27" s="24">
        <v>0.5</v>
      </c>
      <c r="I27" s="4" t="str">
        <f t="shared" si="1"/>
        <v>09:00 - 12:00</v>
      </c>
      <c r="J27" s="4" t="s">
        <v>39</v>
      </c>
      <c r="K27" s="25" t="str">
        <f ca="1">IFERROR(__xludf.DUMMYFUNCTION("IF($E27="""", """", IF(OR(IFERROR(REGEXMATCH(TEXT($F27, ""dd/mm/yyyy""), SUBSTITUTE($G$2, "", "", ""|"")), FALSE), $F27=$G$4, $F27=$H$4), ""Εξέταση σε σ/κ ή αργία"", """"))"),"")</f>
        <v/>
      </c>
      <c r="L27" s="25" t="str">
        <f ca="1">IFERROR(__xludf.DUMMYFUNCTION("IFERROR(IF(ISNUMBER(SEARCH(TEXTJOIN("", "", TRUE, FILTER($E$8:$E$204, $F$8:$F$204 = F27, $J$8:$J$204 = J27, $G$8:$G$204 &lt; H27, $H$8:$H$204 &gt; G27, ROW($E$8:$E$204) &lt;&gt; ROW(E27))), #REF!)), """", TEXTJOIN("", "", TRUE, FILTER($E$8:$E$204, $F$8:$F$204 = F27, "&amp;"$J$8:$J$204 = J27, $G$8:$G$204 &lt; H27, $H$8:$H$204 &gt; G27, ROW($E$8:$E$204) &lt;&gt; ROW(E27)))), """")"),"Μικροσκοπική Ανατομική ΙΙ (ΠΠΣ) (Πρακτικά)")</f>
        <v>Μικροσκοπική Ανατομική ΙΙ (ΠΠΣ) (Πρακτικά)</v>
      </c>
      <c r="M27" s="23" t="s">
        <v>68</v>
      </c>
      <c r="N27" s="13"/>
    </row>
    <row r="28" spans="1:14" ht="30" x14ac:dyDescent="0.25">
      <c r="A28" s="21" t="s">
        <v>2</v>
      </c>
      <c r="B28" s="21" t="s">
        <v>56</v>
      </c>
      <c r="C28" s="4" t="str">
        <f t="shared" si="0"/>
        <v>1ο Έτος</v>
      </c>
      <c r="D28" s="22" t="s">
        <v>32</v>
      </c>
      <c r="E28" s="23" t="s">
        <v>69</v>
      </c>
      <c r="F28" s="14">
        <v>46275</v>
      </c>
      <c r="G28" s="24">
        <v>0.75</v>
      </c>
      <c r="H28" s="24">
        <v>0.79166666666666663</v>
      </c>
      <c r="I28" s="4" t="str">
        <f t="shared" si="1"/>
        <v>18:00 - 19:00</v>
      </c>
      <c r="J28" s="4" t="s">
        <v>70</v>
      </c>
      <c r="K28" s="25" t="str">
        <f ca="1">IFERROR(__xludf.DUMMYFUNCTION("IF($E28="""", """", IF(OR(IFERROR(REGEXMATCH(TEXT($F28, ""dd/mm/yyyy""), SUBSTITUTE($G$2, "", "", ""|"")), FALSE), $F28=$G$4, $F28=$H$4), ""Εξέταση σε σ/κ ή αργία"", """"))"),"")</f>
        <v/>
      </c>
      <c r="L28" s="25" t="str">
        <f ca="1">IFERROR(__xludf.DUMMYFUNCTION("IFERROR(IF(ISNUMBER(SEARCH(TEXTJOIN("", "", TRUE, FILTER($E$8:$E$204, $F$8:$F$204 = F28, $J$8:$J$204 = J28, $G$8:$G$204 &lt; H28, $H$8:$H$204 &gt; G28, ROW($E$8:$E$204) &lt;&gt; ROW(E28))), #REF!)), """", TEXTJOIN("", "", TRUE, FILTER($E$8:$E$204, $F$8:$F$204 = F28, "&amp;"$J$8:$J$204 = J28, $G$8:$G$204 &lt; H28, $H$8:$H$204 &gt; G28, ROW($E$8:$E$204) &lt;&gt; ROW(E28)))), """")"),"")</f>
        <v/>
      </c>
      <c r="M28" s="23"/>
      <c r="N28" s="13"/>
    </row>
    <row r="29" spans="1:14" x14ac:dyDescent="0.25">
      <c r="A29" s="21" t="s">
        <v>2</v>
      </c>
      <c r="B29" s="21" t="s">
        <v>56</v>
      </c>
      <c r="C29" s="4" t="str">
        <f t="shared" si="0"/>
        <v>1ο Έτος</v>
      </c>
      <c r="D29" s="22" t="s">
        <v>71</v>
      </c>
      <c r="E29" s="23" t="s">
        <v>72</v>
      </c>
      <c r="F29" s="14">
        <v>46276</v>
      </c>
      <c r="G29" s="24">
        <v>0.375</v>
      </c>
      <c r="H29" s="24">
        <v>0.5</v>
      </c>
      <c r="I29" s="4" t="str">
        <f t="shared" si="1"/>
        <v>09:00 - 12:00</v>
      </c>
      <c r="J29" s="4" t="s">
        <v>39</v>
      </c>
      <c r="K29" s="25" t="str">
        <f ca="1">IFERROR(__xludf.DUMMYFUNCTION("IF($E29="""", """", IF(OR(IFERROR(REGEXMATCH(TEXT($F29, ""dd/mm/yyyy""), SUBSTITUTE($G$2, "", "", ""|"")), FALSE), $F29=$G$4, $F29=$H$4), ""Εξέταση σε σ/κ ή αργία"", """"))"),"")</f>
        <v/>
      </c>
      <c r="L29" s="25"/>
      <c r="M29" s="23"/>
      <c r="N29" s="13"/>
    </row>
    <row r="30" spans="1:14" x14ac:dyDescent="0.25">
      <c r="A30" s="21" t="s">
        <v>2</v>
      </c>
      <c r="B30" s="21" t="s">
        <v>56</v>
      </c>
      <c r="C30" s="4" t="str">
        <f t="shared" si="0"/>
        <v>1ο Έτος</v>
      </c>
      <c r="D30" s="22" t="s">
        <v>73</v>
      </c>
      <c r="E30" s="23" t="s">
        <v>74</v>
      </c>
      <c r="F30" s="14">
        <v>46283</v>
      </c>
      <c r="G30" s="24">
        <v>0.625</v>
      </c>
      <c r="H30" s="24">
        <v>0.75</v>
      </c>
      <c r="I30" s="4" t="str">
        <f t="shared" si="1"/>
        <v>15:00 - 18:00</v>
      </c>
      <c r="J30" s="4" t="s">
        <v>39</v>
      </c>
      <c r="K30" s="25" t="str">
        <f ca="1">IFERROR(__xludf.DUMMYFUNCTION("IF($E30="""", """", IF(OR(IFERROR(REGEXMATCH(TEXT($F30, ""dd/mm/yyyy""), SUBSTITUTE($G$2, "", "", ""|"")), FALSE), $F30=$G$4, $F30=$H$4), ""Εξέταση σε σ/κ ή αργία"", """"))"),"")</f>
        <v/>
      </c>
      <c r="L30" s="25" t="str">
        <f ca="1">IFERROR(__xludf.DUMMYFUNCTION("IFERROR(IF(ISNUMBER(SEARCH(TEXTJOIN("", "", TRUE, FILTER($E$8:$E$204, $F$8:$F$204 = F30, $J$8:$J$204 = J30, $G$8:$G$204 &lt; H30, $H$8:$H$204 &gt; G30, ROW($E$8:$E$204) &lt;&gt; ROW(E30))), #REF!)), """", TEXTJOIN("", "", TRUE, FILTER($E$8:$E$204, $F$8:$F$204 = F30, "&amp;"$J$8:$J$204 = J30, $G$8:$G$204 &lt; H30, $H$8:$H$204 &gt; G30, ROW($E$8:$E$204) &lt;&gt; ROW(E30)))), """")"),"")</f>
        <v/>
      </c>
      <c r="M30" s="23"/>
      <c r="N30" s="13"/>
    </row>
    <row r="31" spans="1:14" ht="30" x14ac:dyDescent="0.25">
      <c r="A31" s="21" t="s">
        <v>2</v>
      </c>
      <c r="B31" s="21" t="s">
        <v>56</v>
      </c>
      <c r="C31" s="4" t="str">
        <f t="shared" si="0"/>
        <v>1ο Έτος</v>
      </c>
      <c r="D31" s="22" t="s">
        <v>35</v>
      </c>
      <c r="E31" s="23" t="s">
        <v>75</v>
      </c>
      <c r="F31" s="14">
        <v>46267</v>
      </c>
      <c r="G31" s="24">
        <v>0.375</v>
      </c>
      <c r="H31" s="24">
        <v>0.45833333333333331</v>
      </c>
      <c r="I31" s="4" t="str">
        <f t="shared" si="1"/>
        <v>09:00 - 11:00</v>
      </c>
      <c r="J31" s="4" t="s">
        <v>30</v>
      </c>
      <c r="K31" s="25" t="str">
        <f ca="1">IFERROR(__xludf.DUMMYFUNCTION("IF($E31="""", """", IF(OR(IFERROR(REGEXMATCH(TEXT($F31, ""dd/mm/yyyy""), SUBSTITUTE($G$2, "", "", ""|"")), FALSE), $F31=$G$4, $F31=$H$4), ""Εξέταση σε σ/κ ή αργία"", """"))"),"")</f>
        <v/>
      </c>
      <c r="L31" s="25" t="str">
        <f ca="1">IFERROR(__xludf.DUMMYFUNCTION("IFERROR(IF(ISNUMBER(SEARCH(TEXTJOIN("", "", TRUE, FILTER($E$8:$E$204, $F$8:$F$204 = F31, $J$8:$J$204 = J31, $G$8:$G$204 &lt; H31, $H$8:$H$204 &gt; G31, ROW($E$8:$E$204) &lt;&gt; ROW(E31))), #REF!)), """", TEXTJOIN("", "", TRUE, FILTER($E$8:$E$204, $F$8:$F$204 = F31, "&amp;"$J$8:$J$204 = J31, $G$8:$G$204 &lt; H31, $H$8:$H$204 &gt; G31, ROW($E$8:$E$204) &lt;&gt; ROW(E31)))), """")"),"Αρχές Φυσικής &amp; Ακτινοπροστασίας")</f>
        <v>Αρχές Φυσικής &amp; Ακτινοπροστασίας</v>
      </c>
      <c r="M31" s="23"/>
      <c r="N31" s="13"/>
    </row>
    <row r="32" spans="1:14" x14ac:dyDescent="0.25">
      <c r="A32" s="21" t="s">
        <v>2</v>
      </c>
      <c r="B32" s="21" t="s">
        <v>56</v>
      </c>
      <c r="C32" s="4" t="str">
        <f t="shared" si="0"/>
        <v>1ο Έτος</v>
      </c>
      <c r="D32" s="22" t="s">
        <v>32</v>
      </c>
      <c r="E32" s="23" t="s">
        <v>76</v>
      </c>
      <c r="F32" s="14">
        <v>46265</v>
      </c>
      <c r="G32" s="24">
        <v>0.75</v>
      </c>
      <c r="H32" s="24">
        <v>0.875</v>
      </c>
      <c r="I32" s="4" t="str">
        <f t="shared" si="1"/>
        <v>18:00 - 21:00</v>
      </c>
      <c r="J32" s="4" t="s">
        <v>39</v>
      </c>
      <c r="K32" s="25" t="str">
        <f ca="1">IFERROR(__xludf.DUMMYFUNCTION("IF($E32="""", """", IF(OR(IFERROR(REGEXMATCH(TEXT($F32, ""dd/mm/yyyy""), SUBSTITUTE($G$2, "", "", ""|"")), FALSE), $F32=$G$4, $F32=$H$4), ""Εξέταση σε σ/κ ή αργία"", """"))"),"")</f>
        <v/>
      </c>
      <c r="L32" s="25" t="str">
        <f ca="1">IFERROR(__xludf.DUMMYFUNCTION("IFERROR(IF(ISNUMBER(SEARCH(TEXTJOIN("", "", TRUE, FILTER($E$8:$E$204, $F$8:$F$204 = F32, $J$8:$J$204 = J32, $G$8:$G$204 &lt; H32, $H$8:$H$204 &gt; G32, ROW($E$8:$E$204) &lt;&gt; ROW(E32))), #REF!)), """", TEXTJOIN("", "", TRUE, FILTER($E$8:$E$204, $F$8:$F$204 = F32, "&amp;"$J$8:$J$204 = J32, $G$8:$G$204 &lt; H32, $H$8:$H$204 &gt; G32, ROW($E$8:$E$204) &lt;&gt; ROW(E32)))), """")"),"")</f>
        <v/>
      </c>
      <c r="M32" s="23"/>
      <c r="N32" s="13"/>
    </row>
    <row r="33" spans="1:14" x14ac:dyDescent="0.25">
      <c r="A33" s="21" t="s">
        <v>3</v>
      </c>
      <c r="B33" s="21" t="s">
        <v>28</v>
      </c>
      <c r="C33" s="4" t="str">
        <f t="shared" si="0"/>
        <v>2ο Έτος</v>
      </c>
      <c r="D33" s="22" t="s">
        <v>71</v>
      </c>
      <c r="E33" s="23" t="s">
        <v>72</v>
      </c>
      <c r="F33" s="14">
        <v>46276</v>
      </c>
      <c r="G33" s="24">
        <v>0.375</v>
      </c>
      <c r="H33" s="24">
        <v>0.5</v>
      </c>
      <c r="I33" s="4" t="str">
        <f t="shared" si="1"/>
        <v>09:00 - 12:00</v>
      </c>
      <c r="J33" s="4" t="s">
        <v>39</v>
      </c>
      <c r="K33" s="25" t="str">
        <f ca="1">IFERROR(__xludf.DUMMYFUNCTION("IF($E33="""", """", IF(OR(IFERROR(REGEXMATCH(TEXT($F33, ""dd/mm/yyyy""), SUBSTITUTE($G$2, "", "", ""|"")), FALSE), $F33=$G$4, $F33=$H$4), ""Εξέταση σε σ/κ ή αργία"", """"))"),"")</f>
        <v/>
      </c>
      <c r="L33" s="25" t="str">
        <f ca="1">IFERROR(__xludf.DUMMYFUNCTION("IFERROR(IF(ISNUMBER(SEARCH(TEXTJOIN("", "", TRUE, FILTER($E$8:$E$204, $F$8:$F$204 = F33, $J$8:$J$204 = J33, $G$8:$G$204 &lt; H33, $H$8:$H$204 &gt; G33, ROW($E$8:$E$204) &lt;&gt; ROW(E33))), #REF!)), """", TEXTJOIN("", "", TRUE, FILTER($E$8:$E$204, $F$8:$F$204 = F33, "&amp;"$J$8:$J$204 = J33, $G$8:$G$204 &lt; H33, $H$8:$H$204 &gt; G33, ROW($E$8:$E$204) &lt;&gt; ROW(E33)))), """")"),"Βιοστατιστική")</f>
        <v>Βιοστατιστική</v>
      </c>
      <c r="M33" s="23"/>
      <c r="N33" s="13"/>
    </row>
    <row r="34" spans="1:14" x14ac:dyDescent="0.25">
      <c r="A34" s="21" t="s">
        <v>3</v>
      </c>
      <c r="B34" s="21" t="s">
        <v>28</v>
      </c>
      <c r="C34" s="4" t="str">
        <f t="shared" si="0"/>
        <v>2ο Έτος</v>
      </c>
      <c r="D34" s="22" t="s">
        <v>77</v>
      </c>
      <c r="E34" s="23" t="s">
        <v>78</v>
      </c>
      <c r="F34" s="14">
        <v>46272</v>
      </c>
      <c r="G34" s="24">
        <v>0.375</v>
      </c>
      <c r="H34" s="24">
        <v>0.5</v>
      </c>
      <c r="I34" s="4" t="str">
        <f t="shared" si="1"/>
        <v>09:00 - 12:00</v>
      </c>
      <c r="J34" s="4" t="s">
        <v>39</v>
      </c>
      <c r="K34" s="25" t="str">
        <f ca="1">IFERROR(__xludf.DUMMYFUNCTION("IF($E34="""", """", IF(OR(IFERROR(REGEXMATCH(TEXT($F34, ""dd/mm/yyyy""), SUBSTITUTE($G$2, "", "", ""|"")), FALSE), $F34=$G$4, $F34=$H$4), ""Εξέταση σε σ/κ ή αργία"", """"))"),"")</f>
        <v/>
      </c>
      <c r="L34" s="25" t="str">
        <f ca="1">IFERROR(__xludf.DUMMYFUNCTION("IFERROR(IF(ISNUMBER(SEARCH(TEXTJOIN("", "", TRUE, FILTER($E$8:$E$204, $F$8:$F$204 = F34, $J$8:$J$204 = J34, $G$8:$G$204 &lt; H34, $H$8:$H$204 &gt; G34, ROW($E$8:$E$204) &lt;&gt; ROW(E34))), #REF!)), """", TEXTJOIN("", "", TRUE, FILTER($E$8:$E$204, $F$8:$F$204 = F34, "&amp;"$J$8:$J$204 = J34, $G$8:$G$204 &lt; H34, $H$8:$H$204 &gt; G34, ROW($E$8:$E$204) &lt;&gt; ROW(E34)))), """")"),"Μικροβιολογία 1 (ΠΠΣ)")</f>
        <v>Μικροβιολογία 1 (ΠΠΣ)</v>
      </c>
      <c r="M34" s="23" t="s">
        <v>79</v>
      </c>
      <c r="N34" s="13"/>
    </row>
    <row r="35" spans="1:14" ht="45" x14ac:dyDescent="0.25">
      <c r="A35" s="21" t="s">
        <v>3</v>
      </c>
      <c r="B35" s="21" t="s">
        <v>28</v>
      </c>
      <c r="C35" s="4" t="str">
        <f t="shared" si="0"/>
        <v>2ο Έτος</v>
      </c>
      <c r="D35" s="22" t="s">
        <v>80</v>
      </c>
      <c r="E35" s="23" t="s">
        <v>81</v>
      </c>
      <c r="F35" s="27">
        <v>46268</v>
      </c>
      <c r="G35" s="28">
        <v>0.5</v>
      </c>
      <c r="H35" s="28">
        <v>0.625</v>
      </c>
      <c r="I35" s="29" t="str">
        <f t="shared" si="1"/>
        <v>12:00 - 15:00</v>
      </c>
      <c r="J35" s="29" t="s">
        <v>30</v>
      </c>
      <c r="K35" s="25" t="str">
        <f ca="1">IFERROR(__xludf.DUMMYFUNCTION("IF($E35="""", """", IF(OR(IFERROR(REGEXMATCH(TEXT($F35, ""dd/mm/yyyy""), SUBSTITUTE($G$2, "", "", ""|"")), FALSE), $F35=$G$4, $F35=$H$4), ""Εξέταση σε σ/κ ή αργία"", """"))"),"")</f>
        <v/>
      </c>
      <c r="L35" s="25" t="str">
        <f ca="1">IFERROR(__xludf.DUMMYFUNCTION("IFERROR(IF(ISNUMBER(SEARCH(TEXTJOIN("", "", TRUE, FILTER($E$8:$E$204, $F$8:$F$204 = F35, $J$8:$J$204 = J35, $G$8:$G$204 &lt; H35, $H$8:$H$204 &gt; G35, ROW($E$8:$E$204) &lt;&gt; ROW(E35))), #REF!)), """", TEXTJOIN("", "", TRUE, FILTER($E$8:$E$204, $F$8:$F$204 = F35, "&amp;"$J$8:$J$204 = J35, $G$8:$G$204 &lt; H35, $H$8:$H$204 &gt; G35, ROW($E$8:$E$204) &lt;&gt; ROW(E35)))), """")"),"Ιχθυοπαθολογία &amp; Διαχείριση Υγείας Υδρόβιων Οργανισμών")</f>
        <v>Ιχθυοπαθολογία &amp; Διαχείριση Υγείας Υδρόβιων Οργανισμών</v>
      </c>
      <c r="M35" s="23"/>
      <c r="N35" s="13"/>
    </row>
    <row r="36" spans="1:14" ht="30" hidden="1" x14ac:dyDescent="0.25">
      <c r="A36" s="21" t="s">
        <v>3</v>
      </c>
      <c r="B36" s="21" t="s">
        <v>28</v>
      </c>
      <c r="C36" s="4" t="str">
        <f t="shared" si="0"/>
        <v>2ο Έτος</v>
      </c>
      <c r="D36" s="22" t="s">
        <v>80</v>
      </c>
      <c r="E36" s="23" t="s">
        <v>82</v>
      </c>
      <c r="F36" s="27"/>
      <c r="G36" s="24"/>
      <c r="H36" s="24"/>
      <c r="I36" s="4" t="str">
        <f t="shared" si="1"/>
        <v/>
      </c>
      <c r="J36" s="4"/>
      <c r="K36" s="25" t="str">
        <f ca="1">IFERROR(__xludf.DUMMYFUNCTION("IF($E36="""", """", IF(OR(IFERROR(REGEXMATCH(TEXT($F36, ""dd/mm/yyyy""), SUBSTITUTE($G$2, "", "", ""|"")), FALSE), $F36=$G$4, $F36=$H$4), ""Εξέταση σε σ/κ ή αργία"", """"))"),"")</f>
        <v/>
      </c>
      <c r="L36" s="25" t="str">
        <f ca="1">IFERROR(__xludf.DUMMYFUNCTION("IFERROR(IF(ISNUMBER(SEARCH(TEXTJOIN("", "", TRUE, FILTER($E$8:$E$204, $F$8:$F$204 = F36, $J$8:$J$204 = J36, $G$8:$G$204 &lt; H36, $H$8:$H$204 &gt; G36, ROW($E$8:$E$204) &lt;&gt; ROW(E36))), #REF!)), """", TEXTJOIN("", "", TRUE, FILTER($E$8:$E$204, $F$8:$F$204 = F36, "&amp;"$J$8:$J$204 = J36, $G$8:$G$204 &lt; H36, $H$8:$H$204 &gt; G36, ROW($E$8:$E$204) &lt;&gt; ROW(E36)))), """")"),"")</f>
        <v/>
      </c>
      <c r="M36" s="23"/>
      <c r="N36" s="13"/>
    </row>
    <row r="37" spans="1:14" ht="30" x14ac:dyDescent="0.25">
      <c r="A37" s="21" t="s">
        <v>3</v>
      </c>
      <c r="B37" s="21" t="s">
        <v>28</v>
      </c>
      <c r="C37" s="4" t="str">
        <f t="shared" si="0"/>
        <v>2ο Έτος</v>
      </c>
      <c r="D37" s="22" t="s">
        <v>83</v>
      </c>
      <c r="E37" s="23" t="s">
        <v>84</v>
      </c>
      <c r="F37" s="14">
        <v>46265</v>
      </c>
      <c r="G37" s="24">
        <v>0.625</v>
      </c>
      <c r="H37" s="24">
        <v>0.75</v>
      </c>
      <c r="I37" s="4" t="str">
        <f t="shared" si="1"/>
        <v>15:00 - 18:00</v>
      </c>
      <c r="J37" s="4" t="s">
        <v>85</v>
      </c>
      <c r="K37" s="25" t="str">
        <f ca="1">IFERROR(__xludf.DUMMYFUNCTION("IF($E37="""", """", IF(OR(IFERROR(REGEXMATCH(TEXT($F37, ""dd/mm/yyyy""), SUBSTITUTE($G$2, "", "", ""|"")), FALSE), $F37=$G$4, $F37=$H$4), ""Εξέταση σε σ/κ ή αργία"", """"))"),"")</f>
        <v/>
      </c>
      <c r="L37" s="25" t="str">
        <f ca="1">IFERROR(__xludf.DUMMYFUNCTION("IFERROR(IF(ISNUMBER(SEARCH(TEXTJOIN("", "", TRUE, FILTER($E$8:$E$204, $F$8:$F$204 = F37, $J$8:$J$204 = J37, $G$8:$G$204 &lt; H37, $H$8:$H$204 &gt; G37, ROW($E$8:$E$204) &lt;&gt; ROW(E37))), #REF!)), """", TEXTJOIN("", "", TRUE, FILTER($E$8:$E$204, $F$8:$F$204 = F37, "&amp;"$J$8:$J$204 = J37, $G$8:$G$204 &lt; H37, $H$8:$H$204 &gt; G37, ROW($E$8:$E$204) &lt;&gt; ROW(E37)))), """")"),"")</f>
        <v/>
      </c>
      <c r="M37" s="23"/>
      <c r="N37" s="13"/>
    </row>
    <row r="38" spans="1:14" x14ac:dyDescent="0.25">
      <c r="A38" s="21" t="s">
        <v>3</v>
      </c>
      <c r="B38" s="21" t="s">
        <v>28</v>
      </c>
      <c r="C38" s="4" t="str">
        <f t="shared" si="0"/>
        <v>2ο Έτος</v>
      </c>
      <c r="D38" s="22" t="s">
        <v>71</v>
      </c>
      <c r="E38" s="23" t="s">
        <v>86</v>
      </c>
      <c r="F38" s="14">
        <v>46280</v>
      </c>
      <c r="G38" s="24">
        <v>0.58333333333333337</v>
      </c>
      <c r="H38" s="24">
        <v>0.70833333333333337</v>
      </c>
      <c r="I38" s="4" t="str">
        <f t="shared" si="1"/>
        <v>14:00 - 17:00</v>
      </c>
      <c r="J38" s="4" t="s">
        <v>39</v>
      </c>
      <c r="K38" s="25" t="str">
        <f ca="1">IFERROR(__xludf.DUMMYFUNCTION("IF($E38="""", """", IF(OR(IFERROR(REGEXMATCH(TEXT($F38, ""dd/mm/yyyy""), SUBSTITUTE($G$2, "", "", ""|"")), FALSE), $F38=$G$4, $F38=$H$4), ""Εξέταση σε σ/κ ή αργία"", """"))"),"")</f>
        <v/>
      </c>
      <c r="L38" s="25" t="str">
        <f ca="1">IFERROR(__xludf.DUMMYFUNCTION("IFERROR(IF(ISNUMBER(SEARCH(TEXTJOIN("", "", TRUE, FILTER($E$8:$E$204, $F$8:$F$204 = F38, $J$8:$J$204 = J38, $G$8:$G$204 &lt; H38, $H$8:$H$204 &gt; G38, ROW($E$8:$E$204) &lt;&gt; ROW(E38))), #REF!)), """", TEXTJOIN("", "", TRUE, FILTER($E$8:$E$204, $F$8:$F$204 = F38, "&amp;"$J$8:$J$204 = J38, $G$8:$G$204 &lt; H38, $H$8:$H$204 &gt; G38, ROW($E$8:$E$204) &lt;&gt; ROW(E38)))), """")"),"")</f>
        <v/>
      </c>
      <c r="M38" s="23"/>
      <c r="N38" s="13"/>
    </row>
    <row r="39" spans="1:14" ht="45" x14ac:dyDescent="0.25">
      <c r="A39" s="21" t="s">
        <v>3</v>
      </c>
      <c r="B39" s="21" t="s">
        <v>28</v>
      </c>
      <c r="C39" s="4" t="str">
        <f t="shared" si="0"/>
        <v>2ο Έτος</v>
      </c>
      <c r="D39" s="22" t="s">
        <v>87</v>
      </c>
      <c r="E39" s="23" t="s">
        <v>88</v>
      </c>
      <c r="F39" s="14">
        <v>46273</v>
      </c>
      <c r="G39" s="24">
        <v>0.5</v>
      </c>
      <c r="H39" s="24">
        <v>0.625</v>
      </c>
      <c r="I39" s="4" t="str">
        <f t="shared" si="1"/>
        <v>12:00 - 15:00</v>
      </c>
      <c r="J39" s="4" t="s">
        <v>39</v>
      </c>
      <c r="K39" s="25" t="str">
        <f ca="1">IFERROR(__xludf.DUMMYFUNCTION("IF($E39="""", """", IF(OR(IFERROR(REGEXMATCH(TEXT($F39, ""dd/mm/yyyy""), SUBSTITUTE($G$2, "", "", ""|"")), FALSE), $F39=$G$4, $F39=$H$4), ""Εξέταση σε σ/κ ή αργία"", """"))"),"")</f>
        <v/>
      </c>
      <c r="L39" s="25" t="str">
        <f ca="1">IFERROR(__xludf.DUMMYFUNCTION("IFERROR(IF(ISNUMBER(SEARCH(TEXTJOIN("", "", TRUE, FILTER($E$8:$E$204, $F$8:$F$204 = #REF!, $J$8:$J$204 = J39, $G$8:$G$204 &lt; #REF!, $H$8:$H$204 &gt; #REF!, ROW($E$8:$E$204) &lt;&gt; ROW(E39))), #REF!)), """", TEXTJOIN("", "", TRUE, FILTER($E$8:$E$204, $F$8:$F$204 ="&amp;" #REF!, $J$8:$J$204 = J39, $G$8:$G$204 &lt; #REF!, $H$8:$H$204 &gt; #REF!, ROW($E$8:$E$204) &lt;&gt; ROW(E39)))), """")"),"")</f>
        <v/>
      </c>
      <c r="M39" s="23"/>
      <c r="N39" s="13"/>
    </row>
    <row r="40" spans="1:14" ht="45" hidden="1" x14ac:dyDescent="0.25">
      <c r="A40" s="21" t="s">
        <v>3</v>
      </c>
      <c r="B40" s="21" t="s">
        <v>28</v>
      </c>
      <c r="C40" s="4" t="str">
        <f t="shared" si="0"/>
        <v>2ο Έτος</v>
      </c>
      <c r="D40" s="22" t="s">
        <v>87</v>
      </c>
      <c r="E40" s="23" t="s">
        <v>89</v>
      </c>
      <c r="F40" s="14"/>
      <c r="G40" s="24"/>
      <c r="H40" s="24"/>
      <c r="I40" s="4" t="str">
        <f t="shared" si="1"/>
        <v/>
      </c>
      <c r="J40" s="4"/>
      <c r="K40" s="25" t="str">
        <f ca="1">IFERROR(__xludf.DUMMYFUNCTION("IF($E40="""", """", IF(OR(IFERROR(REGEXMATCH(TEXT($F40, ""dd/mm/yyyy""), SUBSTITUTE($G$2, "", "", ""|"")), FALSE), $F40=$G$4, $F40=$H$4), ""Εξέταση σε σ/κ ή αργία"", """"))"),"")</f>
        <v/>
      </c>
      <c r="L40" s="25" t="str">
        <f ca="1">IFERROR(__xludf.DUMMYFUNCTION("IFERROR(IF(ISNUMBER(SEARCH(TEXTJOIN("", "", TRUE, FILTER($E$8:$E$204, $F$8:$F$204 = F39, $J$8:$J$204 = J40, $G$8:$G$204 &lt; H39, $H$8:$H$204 &gt; G39, ROW($E$8:$E$204) &lt;&gt; ROW(E40))), #REF!)), """", TEXTJOIN("", "", TRUE, FILTER($E$8:$E$204, $F$8:$F$204 = F39, "&amp;"$J$8:$J$204 = J40, $G$8:$G$204 &lt; H39, $H$8:$H$204 &gt; G39, ROW($E$8:$E$204) &lt;&gt; ROW(E40)))), """")"),"")</f>
        <v/>
      </c>
      <c r="M40" s="23"/>
      <c r="N40" s="13"/>
    </row>
    <row r="41" spans="1:14" x14ac:dyDescent="0.25">
      <c r="A41" s="21" t="s">
        <v>3</v>
      </c>
      <c r="B41" s="21" t="s">
        <v>28</v>
      </c>
      <c r="C41" s="4" t="str">
        <f t="shared" si="0"/>
        <v>2ο Έτος</v>
      </c>
      <c r="D41" s="22" t="s">
        <v>73</v>
      </c>
      <c r="E41" s="23" t="s">
        <v>90</v>
      </c>
      <c r="F41" s="14">
        <v>46282</v>
      </c>
      <c r="G41" s="24">
        <v>0.625</v>
      </c>
      <c r="H41" s="24">
        <v>0.75</v>
      </c>
      <c r="I41" s="4" t="str">
        <f t="shared" si="1"/>
        <v>15:00 - 18:00</v>
      </c>
      <c r="J41" s="4" t="s">
        <v>39</v>
      </c>
      <c r="K41" s="25" t="str">
        <f ca="1">IFERROR(__xludf.DUMMYFUNCTION("IF($E41="""", """", IF(OR(IFERROR(REGEXMATCH(TEXT($F41, ""dd/mm/yyyy""), SUBSTITUTE($G$2, "", "", ""|"")), FALSE), $F41=$G$4, $F41=$H$4), ""Εξέταση σε σ/κ ή αργία"", """"))"),"")</f>
        <v/>
      </c>
      <c r="L41" s="25" t="str">
        <f ca="1">IFERROR(__xludf.DUMMYFUNCTION("IFERROR(IF(ISNUMBER(SEARCH(TEXTJOIN("", "", TRUE, FILTER($E$8:$E$204, $F$8:$F$204 = F41, $J$8:$J$204 = J41, $G$8:$G$204 &lt; H41, $H$8:$H$204 &gt; G41, ROW($E$8:$E$204) &lt;&gt; ROW(E41))), #REF!)), """", TEXTJOIN("", "", TRUE, FILTER($E$8:$E$204, $F$8:$F$204 = F41, "&amp;"$J$8:$J$204 = J41, $G$8:$G$204 &lt; H41, $H$8:$H$204 &gt; G41, ROW($E$8:$E$204) &lt;&gt; ROW(E41)))), """")"),"")</f>
        <v/>
      </c>
      <c r="M41" s="23"/>
      <c r="N41" s="13"/>
    </row>
    <row r="42" spans="1:14" x14ac:dyDescent="0.25">
      <c r="A42" s="21" t="s">
        <v>3</v>
      </c>
      <c r="B42" s="21" t="s">
        <v>56</v>
      </c>
      <c r="C42" s="4" t="str">
        <f t="shared" si="0"/>
        <v>2ο Έτος</v>
      </c>
      <c r="D42" s="22" t="s">
        <v>77</v>
      </c>
      <c r="E42" s="23" t="s">
        <v>91</v>
      </c>
      <c r="F42" s="14">
        <v>46269</v>
      </c>
      <c r="G42" s="24">
        <v>0.5</v>
      </c>
      <c r="H42" s="24">
        <v>0.625</v>
      </c>
      <c r="I42" s="4" t="str">
        <f t="shared" si="1"/>
        <v>12:00 - 15:00</v>
      </c>
      <c r="J42" s="4" t="s">
        <v>30</v>
      </c>
      <c r="K42" s="25" t="str">
        <f ca="1">IFERROR(__xludf.DUMMYFUNCTION("IF($E42="""", """", IF(OR(IFERROR(REGEXMATCH(TEXT($F42, ""dd/mm/yyyy""), SUBSTITUTE($G$2, "", "", ""|"")), FALSE), $F42=$G$4, $F42=$H$4), ""Εξέταση σε σ/κ ή αργία"", """"))"),"")</f>
        <v/>
      </c>
      <c r="L42" s="25" t="str">
        <f ca="1">IFERROR(__xludf.DUMMYFUNCTION("IFERROR(IF(ISNUMBER(SEARCH(TEXTJOIN("", "", TRUE, FILTER($E$8:$E$204, $F$8:$F$204 = F42, $J$8:$J$204 = J42, $G$8:$G$204 &lt; H42, $H$8:$H$204 &gt; G42, ROW($E$8:$E$204) &lt;&gt; ROW(E42))), #REF!)), """", TEXTJOIN("", "", TRUE, FILTER($E$8:$E$204, $F$8:$F$204 = F42, "&amp;"$J$8:$J$204 = J42, $G$8:$G$204 &lt; H42, $H$8:$H$204 &gt; G42, ROW($E$8:$E$204) &lt;&gt; ROW(E42)))), """")"),"")</f>
        <v/>
      </c>
      <c r="M42" s="23"/>
      <c r="N42" s="13"/>
    </row>
    <row r="43" spans="1:14" x14ac:dyDescent="0.25">
      <c r="A43" s="21" t="s">
        <v>3</v>
      </c>
      <c r="B43" s="21" t="s">
        <v>56</v>
      </c>
      <c r="C43" s="4" t="str">
        <f t="shared" si="0"/>
        <v>2ο Έτος</v>
      </c>
      <c r="D43" s="22" t="s">
        <v>92</v>
      </c>
      <c r="E43" s="23" t="s">
        <v>93</v>
      </c>
      <c r="F43" s="14">
        <v>46269</v>
      </c>
      <c r="G43" s="24">
        <v>0.70833333333333337</v>
      </c>
      <c r="H43" s="24">
        <v>0.79166666666666663</v>
      </c>
      <c r="I43" s="4" t="str">
        <f t="shared" si="1"/>
        <v>17:00 - 19:00</v>
      </c>
      <c r="J43" s="4" t="s">
        <v>30</v>
      </c>
      <c r="K43" s="25" t="str">
        <f ca="1">IFERROR(__xludf.DUMMYFUNCTION("IF($E43="""", """", IF(OR(IFERROR(REGEXMATCH(TEXT($F43, ""dd/mm/yyyy""), SUBSTITUTE($G$2, "", "", ""|"")), FALSE), $F43=$G$4, $F43=$H$4), ""Εξέταση σε σ/κ ή αργία"", """"))"),"")</f>
        <v/>
      </c>
      <c r="L43" s="25" t="str">
        <f ca="1">IFERROR(__xludf.DUMMYFUNCTION("IFERROR(IF(ISNUMBER(SEARCH(TEXTJOIN("", "", TRUE, FILTER($E$8:$E$204, $F$8:$F$204 = F43, $J$8:$J$204 = J43, $G$8:$G$204 &lt; H43, $H$8:$H$204 &gt; G43, ROW($E$8:$E$204) &lt;&gt; ROW(E43))), #REF!)), """", TEXTJOIN("", "", TRUE, FILTER($E$8:$E$204, $F$8:$F$204 = F43, "&amp;"$J$8:$J$204 = J43, $G$8:$G$204 &lt; H43, $H$8:$H$204 &gt; G43, ROW($E$8:$E$204) &lt;&gt; ROW(E43)))), """")"),"Γενική Παθολογία (ΠΠΣ)")</f>
        <v>Γενική Παθολογία (ΠΠΣ)</v>
      </c>
      <c r="M43" s="23" t="s">
        <v>94</v>
      </c>
      <c r="N43" s="13"/>
    </row>
    <row r="44" spans="1:14" x14ac:dyDescent="0.25">
      <c r="A44" s="21" t="s">
        <v>3</v>
      </c>
      <c r="B44" s="21" t="s">
        <v>56</v>
      </c>
      <c r="C44" s="4" t="str">
        <f t="shared" si="0"/>
        <v>2ο Έτος</v>
      </c>
      <c r="D44" s="22" t="s">
        <v>83</v>
      </c>
      <c r="E44" s="23" t="s">
        <v>95</v>
      </c>
      <c r="F44" s="14">
        <v>46267</v>
      </c>
      <c r="G44" s="24">
        <v>0.45833333333333331</v>
      </c>
      <c r="H44" s="24">
        <v>0.58333333333333337</v>
      </c>
      <c r="I44" s="4" t="str">
        <f t="shared" si="1"/>
        <v>11:00 - 14:00</v>
      </c>
      <c r="J44" s="4" t="s">
        <v>30</v>
      </c>
      <c r="K44" s="25" t="str">
        <f ca="1">IFERROR(__xludf.DUMMYFUNCTION("IF($E44="""", """", IF(OR(IFERROR(REGEXMATCH(TEXT($F44, ""dd/mm/yyyy""), SUBSTITUTE($G$2, "", "", ""|"")), FALSE), $F44=$G$4, $F44=$H$4), ""Εξέταση σε σ/κ ή αργία"", """"))"),"")</f>
        <v/>
      </c>
      <c r="L44" s="25" t="str">
        <f ca="1">IFERROR(__xludf.DUMMYFUNCTION("IFERROR(IF(ISNUMBER(SEARCH(TEXTJOIN("", "", TRUE, FILTER($E$8:$E$204, $F$8:$F$204 = F44, $J$8:$J$204 = J44, $G$8:$G$204 &lt; H44, $H$8:$H$204 &gt; G44, ROW($E$8:$E$204) &lt;&gt; ROW(E44))), #REF!)), """", TEXTJOIN("", "", TRUE, FILTER($E$8:$E$204, $F$8:$F$204 = F44, "&amp;"$J$8:$J$204 = J44, $G$8:$G$204 &lt; H44, $H$8:$H$204 &gt; G44, ROW($E$8:$E$204) &lt;&gt; ROW(E44)))), """")"),"")</f>
        <v/>
      </c>
      <c r="M44" s="23"/>
      <c r="N44" s="13"/>
    </row>
    <row r="45" spans="1:14" x14ac:dyDescent="0.25">
      <c r="A45" s="21" t="s">
        <v>3</v>
      </c>
      <c r="B45" s="21" t="s">
        <v>56</v>
      </c>
      <c r="C45" s="4" t="str">
        <f t="shared" si="0"/>
        <v>2ο Έτος</v>
      </c>
      <c r="D45" s="22" t="s">
        <v>77</v>
      </c>
      <c r="E45" s="23" t="s">
        <v>96</v>
      </c>
      <c r="F45" s="14">
        <v>46279</v>
      </c>
      <c r="G45" s="24">
        <v>0.75</v>
      </c>
      <c r="H45" s="24">
        <v>0.875</v>
      </c>
      <c r="I45" s="4" t="str">
        <f t="shared" si="1"/>
        <v>18:00 - 21:00</v>
      </c>
      <c r="J45" s="4" t="s">
        <v>39</v>
      </c>
      <c r="K45" s="25" t="str">
        <f ca="1">IFERROR(__xludf.DUMMYFUNCTION("IF($E45="""", """", IF(OR(IFERROR(REGEXMATCH(TEXT($F45, ""dd/mm/yyyy""), SUBSTITUTE($G$2, "", "", ""|"")), FALSE), $F45=$G$4, $F45=$H$4), ""Εξέταση σε σ/κ ή αργία"", """"))"),"")</f>
        <v/>
      </c>
      <c r="L45" s="25" t="str">
        <f ca="1">IFERROR(__xludf.DUMMYFUNCTION("IFERROR(IF(ISNUMBER(SEARCH(TEXTJOIN("", "", TRUE, FILTER($E$8:$E$204, $F$8:$F$204 = F45, $J$8:$J$204 = J45, $G$8:$G$204 &lt; H45, $H$8:$H$204 &gt; G45, ROW($E$8:$E$204) &lt;&gt; ROW(E45))), #REF!)), """", TEXTJOIN("", "", TRUE, FILTER($E$8:$E$204, $F$8:$F$204 = F45, "&amp;"$J$8:$J$204 = J45, $G$8:$G$204 &lt; H45, $H$8:$H$204 &gt; G45, ROW($E$8:$E$204) &lt;&gt; ROW(E45)))), """")"),"Μικροβιολογια 2 (ΠΠΣ)")</f>
        <v>Μικροβιολογια 2 (ΠΠΣ)</v>
      </c>
      <c r="M45" s="23" t="s">
        <v>97</v>
      </c>
      <c r="N45" s="13"/>
    </row>
    <row r="46" spans="1:14" ht="30" x14ac:dyDescent="0.25">
      <c r="A46" s="21" t="s">
        <v>3</v>
      </c>
      <c r="B46" s="21" t="s">
        <v>56</v>
      </c>
      <c r="C46" s="4" t="str">
        <f t="shared" si="0"/>
        <v>2ο Έτος</v>
      </c>
      <c r="D46" s="22" t="s">
        <v>77</v>
      </c>
      <c r="E46" s="23" t="s">
        <v>98</v>
      </c>
      <c r="F46" s="14">
        <v>46276</v>
      </c>
      <c r="G46" s="24">
        <v>0.5</v>
      </c>
      <c r="H46" s="24">
        <v>0.625</v>
      </c>
      <c r="I46" s="4" t="str">
        <f t="shared" si="1"/>
        <v>12:00 - 15:00</v>
      </c>
      <c r="J46" s="4" t="s">
        <v>39</v>
      </c>
      <c r="K46" s="25" t="str">
        <f ca="1">IFERROR(__xludf.DUMMYFUNCTION("IF($E46="""", """", IF(OR(IFERROR(REGEXMATCH(TEXT($F46, ""dd/mm/yyyy""), SUBSTITUTE($G$2, "", "", ""|"")), FALSE), $F46=$G$4, $F46=$H$4), ""Εξέταση σε σ/κ ή αργία"", """"))"),"")</f>
        <v/>
      </c>
      <c r="L46" s="25" t="str">
        <f ca="1">IFERROR(__xludf.DUMMYFUNCTION("IFERROR(IF(ISNUMBER(SEARCH(TEXTJOIN("", "", TRUE, FILTER($E$8:$E$204, $F$8:$F$204 = F46, $J$8:$J$204 = J46, $G$8:$G$204 &lt; H46, $H$8:$H$204 &gt; G46, ROW($E$8:$E$204) &lt;&gt; ROW(E46))), #REF!)), """", TEXTJOIN("", "", TRUE, FILTER($E$8:$E$204, $F$8:$F$204 = F46, "&amp;"$J$8:$J$204 = J46, $G$8:$G$204 &lt; H46, $H$8:$H$204 &gt; G46, ROW($E$8:$E$204) &lt;&gt; ROW(E46)))), """")"),"")</f>
        <v/>
      </c>
      <c r="M46" s="23"/>
      <c r="N46" s="13"/>
    </row>
    <row r="47" spans="1:14" ht="30" hidden="1" x14ac:dyDescent="0.25">
      <c r="A47" s="21" t="s">
        <v>3</v>
      </c>
      <c r="B47" s="21" t="s">
        <v>56</v>
      </c>
      <c r="C47" s="4" t="str">
        <f t="shared" si="0"/>
        <v>2ο Έτος</v>
      </c>
      <c r="D47" s="22" t="s">
        <v>77</v>
      </c>
      <c r="E47" s="23" t="s">
        <v>99</v>
      </c>
      <c r="F47" s="14"/>
      <c r="G47" s="24"/>
      <c r="H47" s="24"/>
      <c r="I47" s="4" t="str">
        <f t="shared" si="1"/>
        <v/>
      </c>
      <c r="J47" s="4"/>
      <c r="K47" s="25" t="str">
        <f ca="1">IFERROR(__xludf.DUMMYFUNCTION("IF($E47="""", """", IF(OR(IFERROR(REGEXMATCH(TEXT($F47, ""dd/mm/yyyy""), SUBSTITUTE($G$2, "", "", ""|"")), FALSE), $F47=$G$4, $F47=$H$4), ""Εξέταση σε σ/κ ή αργία"", """"))"),"")</f>
        <v/>
      </c>
      <c r="L47" s="25" t="str">
        <f ca="1">IFERROR(__xludf.DUMMYFUNCTION("IFERROR(IF(ISNUMBER(SEARCH(TEXTJOIN("", "", TRUE, FILTER($E$8:$E$204, $F$8:$F$204 = F47, $J$8:$J$204 = J47, $G$8:$G$204 &lt; H47, $H$8:$H$204 &gt; G47, ROW($E$8:$E$204) &lt;&gt; ROW(E47))), #REF!)), """", TEXTJOIN("", "", TRUE, FILTER($E$8:$E$204, $F$8:$F$204 = F47, "&amp;"$J$8:$J$204 = J47, $G$8:$G$204 &lt; H47, $H$8:$H$204 &gt; G47, ROW($E$8:$E$204) &lt;&gt; ROW(E47)))), """")"),"")</f>
        <v/>
      </c>
      <c r="M47" s="23"/>
      <c r="N47" s="13"/>
    </row>
    <row r="48" spans="1:14" x14ac:dyDescent="0.25">
      <c r="A48" s="21" t="s">
        <v>3</v>
      </c>
      <c r="B48" s="21" t="s">
        <v>56</v>
      </c>
      <c r="C48" s="4" t="str">
        <f t="shared" si="0"/>
        <v>2ο Έτος</v>
      </c>
      <c r="D48" s="22" t="s">
        <v>100</v>
      </c>
      <c r="E48" s="23" t="s">
        <v>101</v>
      </c>
      <c r="F48" s="14">
        <v>46275</v>
      </c>
      <c r="G48" s="24">
        <v>0.5</v>
      </c>
      <c r="H48" s="24">
        <v>0.625</v>
      </c>
      <c r="I48" s="4" t="str">
        <f t="shared" si="1"/>
        <v>12:00 - 15:00</v>
      </c>
      <c r="J48" s="4" t="s">
        <v>30</v>
      </c>
      <c r="K48" s="25" t="str">
        <f ca="1">IFERROR(__xludf.DUMMYFUNCTION("IF($E48="""", """", IF(OR(IFERROR(REGEXMATCH(TEXT($F48, ""dd/mm/yyyy""), SUBSTITUTE($G$2, "", "", ""|"")), FALSE), $F48=$G$4, $F48=$H$4), ""Εξέταση σε σ/κ ή αργία"", """"))"),"")</f>
        <v/>
      </c>
      <c r="L48" s="25" t="str">
        <f ca="1">IFERROR(__xludf.DUMMYFUNCTION("IFERROR(IF(ISNUMBER(SEARCH(TEXTJOIN("", "", TRUE, FILTER($E$8:$E$204, $F$8:$F$204 = F48, $J$8:$J$204 = J48, $G$8:$G$204 &lt; H48, $H$8:$H$204 &gt; G48, ROW($E$8:$E$204) &lt;&gt; ROW(E48))), #REF!)), """", TEXTJOIN("", "", TRUE, FILTER($E$8:$E$204, $F$8:$F$204 = F48, "&amp;"$J$8:$J$204 = J48, $G$8:$G$204 &lt; H48, $H$8:$H$204 &gt; G48, ROW($E$8:$E$204) &lt;&gt; ROW(E48)))), """")"),"")</f>
        <v/>
      </c>
      <c r="M48" s="23"/>
      <c r="N48" s="13"/>
    </row>
    <row r="49" spans="1:14" ht="30" x14ac:dyDescent="0.25">
      <c r="A49" s="21" t="s">
        <v>3</v>
      </c>
      <c r="B49" s="21" t="s">
        <v>56</v>
      </c>
      <c r="C49" s="4" t="str">
        <f t="shared" si="0"/>
        <v>2ο Έτος</v>
      </c>
      <c r="D49" s="22" t="s">
        <v>77</v>
      </c>
      <c r="E49" s="23" t="s">
        <v>102</v>
      </c>
      <c r="F49" s="14">
        <v>46281</v>
      </c>
      <c r="G49" s="24">
        <v>0.5</v>
      </c>
      <c r="H49" s="24">
        <v>0.625</v>
      </c>
      <c r="I49" s="4" t="str">
        <f t="shared" si="1"/>
        <v>12:00 - 15:00</v>
      </c>
      <c r="J49" s="4" t="s">
        <v>30</v>
      </c>
      <c r="K49" s="25" t="str">
        <f ca="1">IFERROR(__xludf.DUMMYFUNCTION("IF($E49="""", """", IF(OR(IFERROR(REGEXMATCH(TEXT($F49, ""dd/mm/yyyy""), SUBSTITUTE($G$2, "", "", ""|"")), FALSE), $F49=$G$4, $F49=$H$4), ""Εξέταση σε σ/κ ή αργία"", """"))"),"")</f>
        <v/>
      </c>
      <c r="L49" s="25" t="str">
        <f ca="1">IFERROR(__xludf.DUMMYFUNCTION("IFERROR(IF(ISNUMBER(SEARCH(TEXTJOIN("", "", TRUE, FILTER($E$8:$E$204, $F$8:$F$204 = F49, $J$8:$J$204 = J49, $G$8:$G$204 &lt; H49, $H$8:$H$204 &gt; G49, ROW($E$8:$E$204) &lt;&gt; ROW(E49))), #REF!)), """", TEXTJOIN("", "", TRUE, FILTER($E$8:$E$204, $F$8:$F$204 = F49, "&amp;"$J$8:$J$204 = J49, $G$8:$G$204 &lt; H49, $H$8:$H$204 &gt; G49, ROW($E$8:$E$204) &lt;&gt; ROW(E49)))), """")"),"")</f>
        <v/>
      </c>
      <c r="M49" s="23"/>
      <c r="N49" s="13"/>
    </row>
    <row r="50" spans="1:14" x14ac:dyDescent="0.25">
      <c r="A50" s="21" t="s">
        <v>3</v>
      </c>
      <c r="B50" s="21" t="s">
        <v>56</v>
      </c>
      <c r="C50" s="4" t="str">
        <f t="shared" si="0"/>
        <v>2ο Έτος</v>
      </c>
      <c r="D50" s="22" t="s">
        <v>32</v>
      </c>
      <c r="E50" s="23" t="s">
        <v>103</v>
      </c>
      <c r="F50" s="14">
        <v>46266</v>
      </c>
      <c r="G50" s="24">
        <v>0.375</v>
      </c>
      <c r="H50" s="24">
        <v>0.5</v>
      </c>
      <c r="I50" s="4" t="str">
        <f t="shared" si="1"/>
        <v>09:00 - 12:00</v>
      </c>
      <c r="J50" s="4" t="s">
        <v>39</v>
      </c>
      <c r="K50" s="25" t="str">
        <f ca="1">IFERROR(__xludf.DUMMYFUNCTION("IF($E50="""", """", IF(OR(IFERROR(REGEXMATCH(TEXT($F50, ""dd/mm/yyyy""), SUBSTITUTE($G$2, "", "", ""|"")), FALSE), $F50=$G$4, $F50=$H$4), ""Εξέταση σε σ/κ ή αργία"", """"))"),"")</f>
        <v/>
      </c>
      <c r="L50" s="25" t="str">
        <f ca="1">IFERROR(__xludf.DUMMYFUNCTION("IFERROR(IF(ISNUMBER(SEARCH(TEXTJOIN("", "", TRUE, FILTER($E$8:$E$204, $F$8:$F$204 = F50, $J$8:$J$204 = J50, $G$8:$G$204 &lt; H50, $H$8:$H$204 &gt; G50, ROW($E$8:$E$204) &lt;&gt; ROW(E50))), #REF!)), """", TEXTJOIN("", "", TRUE, FILTER($E$8:$E$204, $F$8:$F$204 = F50, "&amp;"$J$8:$J$204 = J50, $G$8:$G$204 &lt; H50, $H$8:$H$204 &gt; G50, ROW($E$8:$E$204) &lt;&gt; ROW(E50)))), """")"),"")</f>
        <v/>
      </c>
      <c r="M50" s="23"/>
      <c r="N50" s="13"/>
    </row>
    <row r="51" spans="1:14" x14ac:dyDescent="0.25">
      <c r="A51" s="21" t="s">
        <v>4</v>
      </c>
      <c r="B51" s="21" t="s">
        <v>28</v>
      </c>
      <c r="C51" s="4" t="str">
        <f t="shared" si="0"/>
        <v>3ο Έτος</v>
      </c>
      <c r="D51" s="22" t="s">
        <v>83</v>
      </c>
      <c r="E51" s="23" t="s">
        <v>104</v>
      </c>
      <c r="F51" s="27">
        <v>46274</v>
      </c>
      <c r="G51" s="28">
        <v>0.5</v>
      </c>
      <c r="H51" s="28">
        <v>0.625</v>
      </c>
      <c r="I51" s="29" t="str">
        <f t="shared" si="1"/>
        <v>12:00 - 15:00</v>
      </c>
      <c r="J51" s="29" t="s">
        <v>30</v>
      </c>
      <c r="K51" s="25" t="str">
        <f ca="1">IFERROR(__xludf.DUMMYFUNCTION("IF($E51="""", """", IF(OR(IFERROR(REGEXMATCH(TEXT($F51, ""dd/mm/yyyy""), SUBSTITUTE($G$2, "", "", ""|"")), FALSE), $F51=$G$4, $F51=$H$4), ""Εξέταση σε σ/κ ή αργία"", """"))"),"")</f>
        <v/>
      </c>
      <c r="L51" s="25" t="str">
        <f ca="1">IFERROR(__xludf.DUMMYFUNCTION("IFERROR(IF(ISNUMBER(SEARCH(TEXTJOIN("", "", TRUE, FILTER($E$8:$E$204, $F$8:$F$204 = F51, $J$8:$J$204 = J51, $G$8:$G$204 &lt; H51, $H$8:$H$204 &gt; G51, ROW($E$8:$E$204) &lt;&gt; ROW(E51))), #REF!)), """", TEXTJOIN("", "", TRUE, FILTER($E$8:$E$204, $F$8:$F$204 = F51, "&amp;"$J$8:$J$204 = J51, $G$8:$G$204 &lt; H51, $H$8:$H$204 &gt; G51, ROW($E$8:$E$204) &lt;&gt; ROW(E51)))), """")"),"")</f>
        <v/>
      </c>
      <c r="M51" s="23"/>
      <c r="N51" s="13"/>
    </row>
    <row r="52" spans="1:14" ht="60" x14ac:dyDescent="0.25">
      <c r="A52" s="21" t="s">
        <v>4</v>
      </c>
      <c r="B52" s="21" t="s">
        <v>28</v>
      </c>
      <c r="C52" s="4" t="str">
        <f t="shared" si="0"/>
        <v>3ο Έτος</v>
      </c>
      <c r="D52" s="22" t="s">
        <v>80</v>
      </c>
      <c r="E52" s="23" t="s">
        <v>105</v>
      </c>
      <c r="F52" s="14">
        <v>46268</v>
      </c>
      <c r="G52" s="24">
        <v>0.5</v>
      </c>
      <c r="H52" s="24">
        <v>0.625</v>
      </c>
      <c r="I52" s="4" t="str">
        <f t="shared" si="1"/>
        <v>12:00 - 15:00</v>
      </c>
      <c r="J52" s="4" t="s">
        <v>30</v>
      </c>
      <c r="K52" s="25" t="str">
        <f ca="1">IFERROR(__xludf.DUMMYFUNCTION("IF($E52="""", """", IF(OR(IFERROR(REGEXMATCH(TEXT($F52, ""dd/mm/yyyy""), SUBSTITUTE($G$2, "", "", ""|"")), FALSE), $F52=$G$4, $F52=$H$4), ""Εξέταση σε σ/κ ή αργία"", """"))"),"")</f>
        <v/>
      </c>
      <c r="L52" s="25" t="str">
        <f ca="1">IFERROR(__xludf.DUMMYFUNCTION("IFERROR(IF(ISNUMBER(SEARCH(TEXTJOIN("", "", TRUE, FILTER($E$8:$E$204, $F$8:$F$204 = F52, $J$8:$J$204 = J52, $G$8:$G$204 &lt; H52, $H$8:$H$204 &gt; G52, ROW($E$8:$E$204) &lt;&gt; ROW(E52))), #REF!)), """", TEXTJOIN("", "", TRUE, FILTER($E$8:$E$204, $F$8:$F$204 = F52, "&amp;"$J$8:$J$204 = J52, $G$8:$G$204 &lt; H52, $H$8:$H$204 &gt; G52, ROW($E$8:$E$204) &lt;&gt; ROW(E52)))), """")"),"Ιχθυολογία, Υδρόβια Πανίδα &amp; Υδατοκαλλιέργειες (Θεωρία)")</f>
        <v>Ιχθυολογία, Υδρόβια Πανίδα &amp; Υδατοκαλλιέργειες (Θεωρία)</v>
      </c>
      <c r="M52" s="23"/>
      <c r="N52" s="13"/>
    </row>
    <row r="53" spans="1:14" ht="30" x14ac:dyDescent="0.25">
      <c r="A53" s="21" t="s">
        <v>4</v>
      </c>
      <c r="B53" s="21" t="s">
        <v>28</v>
      </c>
      <c r="C53" s="4" t="str">
        <f t="shared" si="0"/>
        <v>3ο Έτος</v>
      </c>
      <c r="D53" s="22" t="s">
        <v>77</v>
      </c>
      <c r="E53" s="23" t="s">
        <v>106</v>
      </c>
      <c r="F53" s="14">
        <v>46282</v>
      </c>
      <c r="G53" s="24">
        <v>0.375</v>
      </c>
      <c r="H53" s="24">
        <v>0.5</v>
      </c>
      <c r="I53" s="4" t="str">
        <f t="shared" si="1"/>
        <v>09:00 - 12:00</v>
      </c>
      <c r="J53" s="4" t="s">
        <v>30</v>
      </c>
      <c r="K53" s="25" t="str">
        <f ca="1">IFERROR(__xludf.DUMMYFUNCTION("IF($E53="""", """", IF(OR(IFERROR(REGEXMATCH(TEXT($F53, ""dd/mm/yyyy""), SUBSTITUTE($G$2, "", "", ""|"")), FALSE), $F53=$G$4, $F53=$H$4), ""Εξέταση σε σ/κ ή αργία"", """"))"),"")</f>
        <v/>
      </c>
      <c r="L53" s="25" t="str">
        <f ca="1">IFERROR(__xludf.DUMMYFUNCTION("IFERROR(IF(ISNUMBER(SEARCH(TEXTJOIN("", "", TRUE, FILTER($E$8:$E$204, $F$8:$F$204 = F53, $J$8:$J$204 = J53, $G$8:$G$204 &lt; H53, $H$8:$H$204 &gt; G53, ROW($E$8:$E$204) &lt;&gt; ROW(E53))), #REF!)), """", TEXTJOIN("", "", TRUE, FILTER($E$8:$E$204, $F$8:$F$204 = F53, "&amp;"$J$8:$J$204 = J53, $G$8:$G$204 &lt; H53, $H$8:$H$204 &gt; G53, ROW($E$8:$E$204) &lt;&gt; ROW(E53)))), """")"),"")</f>
        <v/>
      </c>
      <c r="M53" s="23"/>
      <c r="N53" s="13"/>
    </row>
    <row r="54" spans="1:14" ht="225" x14ac:dyDescent="0.25">
      <c r="A54" s="21" t="s">
        <v>4</v>
      </c>
      <c r="B54" s="21" t="s">
        <v>28</v>
      </c>
      <c r="C54" s="4" t="str">
        <f t="shared" si="0"/>
        <v>3ο Έτος</v>
      </c>
      <c r="D54" s="22" t="s">
        <v>107</v>
      </c>
      <c r="E54" s="23" t="s">
        <v>108</v>
      </c>
      <c r="F54" s="14">
        <v>46281</v>
      </c>
      <c r="G54" s="24">
        <v>0.375</v>
      </c>
      <c r="H54" s="24">
        <v>0.5</v>
      </c>
      <c r="I54" s="4" t="str">
        <f t="shared" si="1"/>
        <v>09:00 - 12:00</v>
      </c>
      <c r="J54" s="4" t="s">
        <v>39</v>
      </c>
      <c r="K54" s="25" t="str">
        <f ca="1">IFERROR(__xludf.DUMMYFUNCTION("IF($E54="""", """", IF(OR(IFERROR(REGEXMATCH(TEXT($F54, ""dd/mm/yyyy""), SUBSTITUTE($G$2, "", "", ""|"")), FALSE), $F54=$G$4, $F54=$H$4), ""Εξέταση σε σ/κ ή αργία"", """"))"),"")</f>
        <v/>
      </c>
      <c r="L54" s="25" t="str">
        <f ca="1">IFERROR(__xludf.DUMMYFUNCTION("IFERROR(IF(ISNUMBER(SEARCH(TEXTJOIN("", "", TRUE, FILTER($E$8:$E$204, $F$8:$F$204 = F54, $J$8:$J$204 = J54, $G$8:$G$204 &lt; H54, $H$8:$H$204 &gt; G54, ROW($E$8:$E$204) &lt;&gt; ROW(E54))), #REF!)), """", TEXTJOIN("", "", TRUE, FILTER($E$8:$E$204, $F$8:$F$204 = F54, "&amp;"$J$8:$J$204 = J54, $G$8:$G$204 &lt; H54, $H$8:$H$204 &gt; G54, ROW($E$8:$E$204) &lt;&gt; ROW(E54)))), """")"),"Φυσιολογία &amp; Παθολογία Αναπαραγωγής Αρσενικών Θηλαστικών Ζώων &amp; Τεχνητή Σπερματέγχυση, Μαιευτική &amp; Αναπαραγωγή ΙV, Πρακτική Άσκηση στη Μαιευτική &amp; Αναπαραγωγή των Κατοικιδίων Θηλαστικών Ι, Αναπαραγωγή Αρσενικού (ΠΠΣ)")</f>
        <v>Φυσιολογία &amp; Παθολογία Αναπαραγωγής Αρσενικών Θηλαστικών Ζώων &amp; Τεχνητή Σπερματέγχυση, Μαιευτική &amp; Αναπαραγωγή ΙV, Πρακτική Άσκηση στη Μαιευτική &amp; Αναπαραγωγή των Κατοικιδίων Θηλαστικών Ι, Αναπαραγωγή Αρσενικού (ΠΠΣ)</v>
      </c>
      <c r="M54" s="23"/>
      <c r="N54" s="13"/>
    </row>
    <row r="55" spans="1:14" ht="30" x14ac:dyDescent="0.25">
      <c r="A55" s="21" t="s">
        <v>4</v>
      </c>
      <c r="B55" s="21" t="s">
        <v>28</v>
      </c>
      <c r="C55" s="4" t="str">
        <f t="shared" si="0"/>
        <v>3ο Έτος</v>
      </c>
      <c r="D55" s="22" t="s">
        <v>92</v>
      </c>
      <c r="E55" s="23" t="s">
        <v>109</v>
      </c>
      <c r="F55" s="14">
        <v>46275</v>
      </c>
      <c r="G55" s="24">
        <v>0.625</v>
      </c>
      <c r="H55" s="24">
        <v>0.70833333333333337</v>
      </c>
      <c r="I55" s="4" t="str">
        <f t="shared" si="1"/>
        <v>15:00 - 17:00</v>
      </c>
      <c r="J55" s="4" t="s">
        <v>30</v>
      </c>
      <c r="K55" s="25" t="str">
        <f ca="1">IFERROR(__xludf.DUMMYFUNCTION("IF($E55="""", """", IF(OR(IFERROR(REGEXMATCH(TEXT($F55, ""dd/mm/yyyy""), SUBSTITUTE($G$2, "", "", ""|"")), FALSE), $F55=$G$4, $F55=$H$4), ""Εξέταση σε σ/κ ή αργία"", """"))"),"")</f>
        <v/>
      </c>
      <c r="L55" s="25" t="str">
        <f ca="1">IFERROR(__xludf.DUMMYFUNCTION("IFERROR(IF(ISNUMBER(SEARCH(TEXTJOIN("", "", TRUE, FILTER($E$8:$E$204, $F$8:$F$204 = F55, $J$8:$J$204 = J55, $G$8:$G$204 &lt; H55, $H$8:$H$204 &gt; G55, ROW($E$8:$E$204) &lt;&gt; ROW(E55))), #REF!)), """", TEXTJOIN("", "", TRUE, FILTER($E$8:$E$204, $F$8:$F$204 = F55, "&amp;"$J$8:$J$204 = J55, $G$8:$G$204 &lt; H55, $H$8:$H$204 &gt; G55, ROW($E$8:$E$204) &lt;&gt; ROW(E55)))), """")"),"Ειδική Παθολογία ΖΣ Ι (ΠΠΣ)")</f>
        <v>Ειδική Παθολογία ΖΣ Ι (ΠΠΣ)</v>
      </c>
      <c r="M55" s="23" t="s">
        <v>110</v>
      </c>
      <c r="N55" s="13"/>
    </row>
    <row r="56" spans="1:14" x14ac:dyDescent="0.25">
      <c r="A56" s="21" t="s">
        <v>4</v>
      </c>
      <c r="B56" s="21" t="s">
        <v>28</v>
      </c>
      <c r="C56" s="4" t="str">
        <f t="shared" si="0"/>
        <v>3ο Έτος</v>
      </c>
      <c r="D56" s="22" t="s">
        <v>92</v>
      </c>
      <c r="E56" s="23" t="s">
        <v>111</v>
      </c>
      <c r="F56" s="14">
        <v>46276</v>
      </c>
      <c r="G56" s="24">
        <v>0.625</v>
      </c>
      <c r="H56" s="24">
        <v>0.75</v>
      </c>
      <c r="I56" s="4" t="str">
        <f t="shared" si="1"/>
        <v>15:00 - 18:00</v>
      </c>
      <c r="J56" s="4" t="s">
        <v>30</v>
      </c>
      <c r="K56" s="25" t="str">
        <f ca="1">IFERROR(__xludf.DUMMYFUNCTION("IF($E56="""", """", IF(OR(IFERROR(REGEXMATCH(TEXT($F56, ""dd/mm/yyyy""), SUBSTITUTE($G$2, "", "", ""|"")), FALSE), $F56=$G$4, $F56=$H$4), ""Εξέταση σε σ/κ ή αργία"", """"))"),"")</f>
        <v/>
      </c>
      <c r="L56" s="25" t="str">
        <f ca="1">IFERROR(__xludf.DUMMYFUNCTION("IFERROR(IF(ISNUMBER(SEARCH(TEXTJOIN("", "", TRUE, FILTER($E$8:$E$204, $F$8:$F$204 = F56, $J$8:$J$204 = J56, $G$8:$G$204 &lt; H56, $H$8:$H$204 &gt; G56, ROW($E$8:$E$204) &lt;&gt; ROW(E56))), #REF!)), """", TEXTJOIN("", "", TRUE, FILTER($E$8:$E$204, $F$8:$F$204 = F56, "&amp;"$J$8:$J$204 = J56, $G$8:$G$204 &lt; H56, $H$8:$H$204 &gt; G56, ROW($E$8:$E$204) &lt;&gt; ROW(E56)))), """")"),"")</f>
        <v/>
      </c>
      <c r="M56" s="23"/>
      <c r="N56" s="13"/>
    </row>
    <row r="57" spans="1:14" ht="30" x14ac:dyDescent="0.25">
      <c r="A57" s="21" t="s">
        <v>4</v>
      </c>
      <c r="B57" s="21" t="s">
        <v>28</v>
      </c>
      <c r="C57" s="4" t="str">
        <f t="shared" si="0"/>
        <v>3ο Έτος</v>
      </c>
      <c r="D57" s="22" t="s">
        <v>77</v>
      </c>
      <c r="E57" s="23" t="s">
        <v>112</v>
      </c>
      <c r="F57" s="14">
        <v>46279</v>
      </c>
      <c r="G57" s="24">
        <v>0.375</v>
      </c>
      <c r="H57" s="24">
        <v>0.45833333333333331</v>
      </c>
      <c r="I57" s="4" t="str">
        <f t="shared" si="1"/>
        <v>09:00 - 11:00</v>
      </c>
      <c r="J57" s="4" t="s">
        <v>30</v>
      </c>
      <c r="K57" s="25" t="str">
        <f ca="1">IFERROR(__xludf.DUMMYFUNCTION("IF($E57="""", """", IF(OR(IFERROR(REGEXMATCH(TEXT($F57, ""dd/mm/yyyy""), SUBSTITUTE($G$2, "", "", ""|"")), FALSE), $F57=$G$4, $F57=$H$4), ""Εξέταση σε σ/κ ή αργία"", """"))"),"")</f>
        <v/>
      </c>
      <c r="L57" s="25" t="str">
        <f ca="1">IFERROR(__xludf.DUMMYFUNCTION("IFERROR(IF(ISNUMBER(SEARCH(TEXTJOIN("", "", TRUE, FILTER($E$8:$E$204, $F$8:$F$204 = F57, $J$8:$J$204 = J57, $G$8:$G$204 &lt; H57, $H$8:$H$204 &gt; G57, ROW($E$8:$E$204) &lt;&gt; ROW(E57))), #REF!)), """", TEXTJOIN("", "", TRUE, FILTER($E$8:$E$204, $F$8:$F$204 = F57, "&amp;"$J$8:$J$204 = J57, $G$8:$G$204 &lt; H57, $H$8:$H$204 &gt; G57, ROW($E$8:$E$204) &lt;&gt; ROW(E57)))), """")"),"")</f>
        <v/>
      </c>
      <c r="M57" s="23"/>
      <c r="N57" s="13"/>
    </row>
    <row r="58" spans="1:14" ht="30" hidden="1" x14ac:dyDescent="0.25">
      <c r="A58" s="21" t="s">
        <v>4</v>
      </c>
      <c r="B58" s="21" t="s">
        <v>28</v>
      </c>
      <c r="C58" s="4" t="str">
        <f t="shared" si="0"/>
        <v>3ο Έτος</v>
      </c>
      <c r="D58" s="22" t="s">
        <v>77</v>
      </c>
      <c r="E58" s="23" t="s">
        <v>113</v>
      </c>
      <c r="F58" s="14"/>
      <c r="G58" s="24"/>
      <c r="H58" s="24"/>
      <c r="I58" s="4" t="str">
        <f t="shared" si="1"/>
        <v/>
      </c>
      <c r="J58" s="4"/>
      <c r="K58" s="25" t="str">
        <f ca="1">IFERROR(__xludf.DUMMYFUNCTION("IF($E58="""", """", IF(OR(IFERROR(REGEXMATCH(TEXT($F58, ""dd/mm/yyyy""), SUBSTITUTE($G$2, "", "", ""|"")), FALSE), $F58=$G$4, $F58=$H$4), ""Εξέταση σε σ/κ ή αργία"", """"))"),"")</f>
        <v/>
      </c>
      <c r="L58" s="25" t="str">
        <f ca="1">IFERROR(__xludf.DUMMYFUNCTION("IFERROR(IF(ISNUMBER(SEARCH(TEXTJOIN("", "", TRUE, FILTER($E$8:$E$204, $F$8:$F$204 = F58, $J$8:$J$204 = J58, $G$8:$G$204 &lt; H58, $H$8:$H$204 &gt; G58, ROW($E$8:$E$204) &lt;&gt; ROW(E58))), #REF!)), """", TEXTJOIN("", "", TRUE, FILTER($E$8:$E$204, $F$8:$F$204 = F58, "&amp;"$J$8:$J$204 = J58, $G$8:$G$204 &lt; H58, $H$8:$H$204 &gt; G58, ROW($E$8:$E$204) &lt;&gt; ROW(E58)))), """")"),"")</f>
        <v/>
      </c>
      <c r="M58" s="23"/>
      <c r="N58" s="13"/>
    </row>
    <row r="59" spans="1:14" x14ac:dyDescent="0.25">
      <c r="A59" s="21" t="s">
        <v>4</v>
      </c>
      <c r="B59" s="21" t="s">
        <v>28</v>
      </c>
      <c r="C59" s="4" t="str">
        <f t="shared" si="0"/>
        <v>3ο Έτος</v>
      </c>
      <c r="D59" s="22" t="s">
        <v>100</v>
      </c>
      <c r="E59" s="23" t="s">
        <v>114</v>
      </c>
      <c r="F59" s="14">
        <v>46279</v>
      </c>
      <c r="G59" s="24">
        <v>0.5</v>
      </c>
      <c r="H59" s="24">
        <v>0.625</v>
      </c>
      <c r="I59" s="4" t="str">
        <f t="shared" si="1"/>
        <v>12:00 - 15:00</v>
      </c>
      <c r="J59" s="4" t="s">
        <v>30</v>
      </c>
      <c r="K59" s="25" t="str">
        <f ca="1">IFERROR(__xludf.DUMMYFUNCTION("IF($E59="""", """", IF(OR(IFERROR(REGEXMATCH(TEXT($F59, ""dd/mm/yyyy""), SUBSTITUTE($G$2, "", "", ""|"")), FALSE), $F59=$G$4, $F59=$H$4), ""Εξέταση σε σ/κ ή αργία"", """"))"),"")</f>
        <v/>
      </c>
      <c r="L59" s="25" t="str">
        <f ca="1">IFERROR(__xludf.DUMMYFUNCTION("IFERROR(IF(ISNUMBER(SEARCH(TEXTJOIN("", "", TRUE, FILTER($E$8:$E$204, $F$8:$F$204 = F59, $J$8:$J$204 = J59, $G$8:$G$204 &lt; H59, $H$8:$H$204 &gt; G59, ROW($E$8:$E$204) &lt;&gt; ROW(E59))), #REF!)), """", TEXTJOIN("", "", TRUE, FILTER($E$8:$E$204, $F$8:$F$204 = F59, "&amp;"$J$8:$J$204 = J59, $G$8:$G$204 &lt; H59, $H$8:$H$204 &gt; G59, ROW($E$8:$E$204) &lt;&gt; ROW(E59)))), """")"),"")</f>
        <v/>
      </c>
      <c r="M59" s="23"/>
      <c r="N59" s="13"/>
    </row>
    <row r="60" spans="1:14" ht="135" x14ac:dyDescent="0.25">
      <c r="A60" s="21" t="s">
        <v>4</v>
      </c>
      <c r="B60" s="21" t="s">
        <v>28</v>
      </c>
      <c r="C60" s="4" t="str">
        <f t="shared" si="0"/>
        <v>3ο Έτος</v>
      </c>
      <c r="D60" s="22" t="s">
        <v>115</v>
      </c>
      <c r="E60" s="23" t="s">
        <v>116</v>
      </c>
      <c r="F60" s="14">
        <v>46266</v>
      </c>
      <c r="G60" s="24">
        <v>0.625</v>
      </c>
      <c r="H60" s="24">
        <v>0.75</v>
      </c>
      <c r="I60" s="4" t="str">
        <f t="shared" si="1"/>
        <v>15:00 - 18:00</v>
      </c>
      <c r="J60" s="4" t="s">
        <v>39</v>
      </c>
      <c r="K60" s="25" t="str">
        <f ca="1">IFERROR(__xludf.DUMMYFUNCTION("IF($E60="""", """", IF(OR(IFERROR(REGEXMATCH(TEXT($F60, ""dd/mm/yyyy""), SUBSTITUTE($G$2, "", "", ""|"")), FALSE), $F60=$G$4, $F60=$H$4), ""Εξέταση σε σ/κ ή αργία"", """"))"),"")</f>
        <v/>
      </c>
      <c r="L60" s="25" t="str">
        <f ca="1">IFERROR(__xludf.DUMMYFUNCTION("IFERROR(IF(ISNUMBER(SEARCH(TEXTJOIN("", "", TRUE, FILTER($E$8:$E$204, $F$8:$F$204 = F60, $J$8:$J$204 = J60, $G$8:$G$204 &lt; H60, $H$8:$H$204 &gt; G60, ROW($E$8:$E$204) &lt;&gt; ROW(E60))), #REF!)), """", TEXTJOIN("", "", TRUE, FILTER($E$8:$E$204, $F$8:$F$204 = F60, "&amp;"$J$8:$J$204 = J60, $G$8:$G$204 &lt; H60, $H$8:$H$204 &gt; G60, ROW($E$8:$E$204) &lt;&gt; ROW(E60)))), """")"),"Εκτροφή/Παθολογία Σημαντικότερων Υδρόβιων Οργανισμών (Πλην Ιχθύων), Κλινική Εργαστηριακή Διαγνωστική, Ζωοανθρωπονόσοι μέσω Προσέγγισης Ενιαίας Υγείας")</f>
        <v>Εκτροφή/Παθολογία Σημαντικότερων Υδρόβιων Οργανισμών (Πλην Ιχθύων), Κλινική Εργαστηριακή Διαγνωστική, Ζωοανθρωπονόσοι μέσω Προσέγγισης Ενιαίας Υγείας</v>
      </c>
      <c r="M60" s="23"/>
      <c r="N60" s="13"/>
    </row>
    <row r="61" spans="1:14" ht="105" x14ac:dyDescent="0.25">
      <c r="A61" s="21" t="s">
        <v>4</v>
      </c>
      <c r="B61" s="21" t="s">
        <v>28</v>
      </c>
      <c r="C61" s="4" t="str">
        <f t="shared" si="0"/>
        <v>3ο Έτος</v>
      </c>
      <c r="D61" s="22" t="s">
        <v>80</v>
      </c>
      <c r="E61" s="23" t="s">
        <v>117</v>
      </c>
      <c r="F61" s="14">
        <v>46266</v>
      </c>
      <c r="G61" s="24">
        <v>0.625</v>
      </c>
      <c r="H61" s="24">
        <v>0.75</v>
      </c>
      <c r="I61" s="4" t="str">
        <f t="shared" si="1"/>
        <v>15:00 - 18:00</v>
      </c>
      <c r="J61" s="4" t="s">
        <v>39</v>
      </c>
      <c r="K61" s="25" t="str">
        <f ca="1">IFERROR(__xludf.DUMMYFUNCTION("IF($E61="""", """", IF(OR(IFERROR(REGEXMATCH(TEXT($F61, ""dd/mm/yyyy""), SUBSTITUTE($G$2, "", "", ""|"")), FALSE), $F61=$G$4, $F61=$H$4), ""Εξέταση σε σ/κ ή αργία"", """"))"),"")</f>
        <v/>
      </c>
      <c r="L61" s="25" t="str">
        <f ca="1">IFERROR(__xludf.DUMMYFUNCTION("IFERROR(IF(ISNUMBER(SEARCH(TEXTJOIN("", "", TRUE, FILTER($E$8:$E$204, $F$8:$F$204 = F61, $J$8:$J$204 = J61, $G$8:$G$204 &lt; H61, $H$8:$H$204 &gt; G61, ROW($E$8:$E$204) &lt;&gt; ROW(E61))), #REF!)), """", TEXTJOIN("", "", TRUE, FILTER($E$8:$E$204, $F$8:$F$204 = F61, "&amp;"$J$8:$J$204 = J61, $G$8:$G$204 &lt; H61, $H$8:$H$204 &gt; G61, ROW($E$8:$E$204) &lt;&gt; ROW(E61)))), """")"),"Εισαγωγή στην Εντατική Θεραπεία, Κλινική Εργαστηριακή Διαγνωστική, Ζωοανθρωπονόσοι μέσω Προσέγγισης Ενιαίας Υγείας")</f>
        <v>Εισαγωγή στην Εντατική Θεραπεία, Κλινική Εργαστηριακή Διαγνωστική, Ζωοανθρωπονόσοι μέσω Προσέγγισης Ενιαίας Υγείας</v>
      </c>
      <c r="M61" s="23"/>
      <c r="N61" s="13"/>
    </row>
    <row r="62" spans="1:14" ht="135" x14ac:dyDescent="0.25">
      <c r="A62" s="21" t="s">
        <v>4</v>
      </c>
      <c r="B62" s="21" t="s">
        <v>28</v>
      </c>
      <c r="C62" s="4" t="str">
        <f t="shared" si="0"/>
        <v>3ο Έτος</v>
      </c>
      <c r="D62" s="22" t="s">
        <v>92</v>
      </c>
      <c r="E62" s="23" t="s">
        <v>118</v>
      </c>
      <c r="F62" s="27">
        <v>46266</v>
      </c>
      <c r="G62" s="28">
        <v>0.625</v>
      </c>
      <c r="H62" s="28">
        <v>0.75</v>
      </c>
      <c r="I62" s="29" t="str">
        <f t="shared" si="1"/>
        <v>15:00 - 18:00</v>
      </c>
      <c r="J62" s="29" t="s">
        <v>39</v>
      </c>
      <c r="K62" s="25" t="str">
        <f ca="1">IFERROR(__xludf.DUMMYFUNCTION("IF($E62="""", """", IF(OR(IFERROR(REGEXMATCH(TEXT($F62, ""dd/mm/yyyy""), SUBSTITUTE($G$2, "", "", ""|"")), FALSE), $F62=$G$4, $F62=$H$4), ""Εξέταση σε σ/κ ή αργία"", """"))"),"")</f>
        <v/>
      </c>
      <c r="L62" s="25" t="str">
        <f ca="1">IFERROR(__xludf.DUMMYFUNCTION("IFERROR(IF(ISNUMBER(SEARCH(TEXTJOIN("", "", TRUE, FILTER($E$8:$E$204, $F$8:$F$204 = F62, $J$8:$J$204 = J62, $G$8:$G$204 &lt; H62, $H$8:$H$204 &gt; G62, ROW($E$8:$E$204) &lt;&gt; ROW(E62))), #REF!)), """", TEXTJOIN("", "", TRUE, FILTER($E$8:$E$204, $F$8:$F$204 = F62, "&amp;"$J$8:$J$204 = J62, $G$8:$G$204 &lt; H62, $H$8:$H$204 &gt; G62, ROW($E$8:$E$204) &lt;&gt; ROW(E62)))), """")"),"Εισαγωγή στην Εντατική Θεραπεία, Εκτροφή/Παθολογία Σημαντικότερων Υδρόβιων Οργανισμών (Πλην Ιχθύων), Ζωοανθρωπονόσοι μέσω Προσέγγισης Ενιαίας Υγείας")</f>
        <v>Εισαγωγή στην Εντατική Θεραπεία, Εκτροφή/Παθολογία Σημαντικότερων Υδρόβιων Οργανισμών (Πλην Ιχθύων), Ζωοανθρωπονόσοι μέσω Προσέγγισης Ενιαίας Υγείας</v>
      </c>
      <c r="M62" s="23"/>
      <c r="N62" s="13"/>
    </row>
    <row r="63" spans="1:14" ht="120" x14ac:dyDescent="0.25">
      <c r="A63" s="21" t="s">
        <v>4</v>
      </c>
      <c r="B63" s="21" t="s">
        <v>28</v>
      </c>
      <c r="C63" s="4" t="str">
        <f t="shared" si="0"/>
        <v>3ο Έτος</v>
      </c>
      <c r="D63" s="22" t="s">
        <v>77</v>
      </c>
      <c r="E63" s="23" t="s">
        <v>119</v>
      </c>
      <c r="F63" s="27">
        <v>46266</v>
      </c>
      <c r="G63" s="28">
        <v>0.625</v>
      </c>
      <c r="H63" s="28">
        <v>0.75</v>
      </c>
      <c r="I63" s="29" t="str">
        <f t="shared" si="1"/>
        <v>15:00 - 18:00</v>
      </c>
      <c r="J63" s="29" t="s">
        <v>39</v>
      </c>
      <c r="K63" s="25" t="str">
        <f ca="1">IFERROR(__xludf.DUMMYFUNCTION("IF($E63="""", """", IF(OR(IFERROR(REGEXMATCH(TEXT($F63, ""dd/mm/yyyy""), SUBSTITUTE($G$2, "", "", ""|"")), FALSE), $F63=$G$4, $F63=$H$4), ""Εξέταση σε σ/κ ή αργία"", """"))"),"")</f>
        <v/>
      </c>
      <c r="L63" s="25" t="str">
        <f ca="1">IFERROR(__xludf.DUMMYFUNCTION("IFERROR(IF(ISNUMBER(SEARCH(TEXTJOIN("", "", TRUE, FILTER($E$8:$E$204, $F$8:$F$204 = F63, $J$8:$J$204 = J63, $G$8:$G$204 &lt; H63, $H$8:$H$204 &gt; G63, ROW($E$8:$E$204) &lt;&gt; ROW(E63))), #REF!)), """", TEXTJOIN("", "", TRUE, FILTER($E$8:$E$204, $F$8:$F$204 = F63, "&amp;"$J$8:$J$204 = J63, $G$8:$G$204 &lt; H63, $H$8:$H$204 &gt; G63, ROW($E$8:$E$204) &lt;&gt; ROW(E63)))), """")"),"Εισαγωγή στην Εντατική Θεραπεία, Εκτροφή/Παθολογία Σημαντικότερων Υδρόβιων Οργανισμών (Πλην Ιχθύων), Κλινική Εργαστηριακή Διαγνωστική")</f>
        <v>Εισαγωγή στην Εντατική Θεραπεία, Εκτροφή/Παθολογία Σημαντικότερων Υδρόβιων Οργανισμών (Πλην Ιχθύων), Κλινική Εργαστηριακή Διαγνωστική</v>
      </c>
      <c r="M63" s="23"/>
      <c r="N63" s="13"/>
    </row>
    <row r="64" spans="1:14" ht="45" x14ac:dyDescent="0.25">
      <c r="A64" s="21" t="s">
        <v>4</v>
      </c>
      <c r="B64" s="21" t="s">
        <v>28</v>
      </c>
      <c r="C64" s="4" t="str">
        <f t="shared" si="0"/>
        <v>3ο Έτος</v>
      </c>
      <c r="D64" s="22" t="s">
        <v>83</v>
      </c>
      <c r="E64" s="23" t="s">
        <v>120</v>
      </c>
      <c r="F64" s="14">
        <v>46266</v>
      </c>
      <c r="G64" s="24">
        <v>0.79166666666666663</v>
      </c>
      <c r="H64" s="24">
        <v>0.875</v>
      </c>
      <c r="I64" s="4" t="str">
        <f t="shared" si="1"/>
        <v>19:00 - 21:00</v>
      </c>
      <c r="J64" s="4" t="s">
        <v>121</v>
      </c>
      <c r="K64" s="25" t="str">
        <f ca="1">IFERROR(__xludf.DUMMYFUNCTION("IF($E64="""", """", IF(OR(IFERROR(REGEXMATCH(TEXT($F64, ""dd/mm/yyyy""), SUBSTITUTE($G$2, "", "", ""|"")), FALSE), $F64=$G$4, $F64=$H$4), ""Εξέταση σε σ/κ ή αργία"", """"))"),"")</f>
        <v/>
      </c>
      <c r="L64" s="25" t="str">
        <f ca="1">IFERROR(__xludf.DUMMYFUNCTION("IFERROR(IF(ISNUMBER(SEARCH(TEXTJOIN("", "", TRUE, FILTER($E$8:$E$204, $F$8:$F$204 = F64, $J$8:$J$204 = J64, $G$8:$G$204 &lt; H64, $H$8:$H$204 &gt; G64, ROW($E$8:$E$204) &lt;&gt; ROW(E64))), #REF!)), """", TEXTJOIN("", "", TRUE, FILTER($E$8:$E$204, $F$8:$F$204 = F64, "&amp;"$J$8:$J$204 = J64, $G$8:$G$204 &lt; H64, $H$8:$H$204 &gt; G64, ROW($E$8:$E$204) &lt;&gt; ROW(E64)))), """")"),"")</f>
        <v/>
      </c>
      <c r="M64" s="23"/>
      <c r="N64" s="13"/>
    </row>
    <row r="65" spans="1:14" ht="30" x14ac:dyDescent="0.25">
      <c r="A65" s="21" t="s">
        <v>4</v>
      </c>
      <c r="B65" s="21" t="s">
        <v>56</v>
      </c>
      <c r="C65" s="4" t="str">
        <f t="shared" si="0"/>
        <v>3ο Έτος</v>
      </c>
      <c r="D65" s="22" t="s">
        <v>115</v>
      </c>
      <c r="E65" s="23" t="s">
        <v>122</v>
      </c>
      <c r="F65" s="14">
        <v>46280</v>
      </c>
      <c r="G65" s="24">
        <v>0.375</v>
      </c>
      <c r="H65" s="24">
        <v>0.5</v>
      </c>
      <c r="I65" s="4" t="str">
        <f t="shared" si="1"/>
        <v>09:00 - 12:00</v>
      </c>
      <c r="J65" s="4" t="s">
        <v>39</v>
      </c>
      <c r="K65" s="25" t="str">
        <f ca="1">IFERROR(__xludf.DUMMYFUNCTION("IF($E65="""", """", IF(OR(IFERROR(REGEXMATCH(TEXT($F65, ""dd/mm/yyyy""), SUBSTITUTE($G$2, "", "", ""|"")), FALSE), $F65=$G$4, $F65=$H$4), ""Εξέταση σε σ/κ ή αργία"", """"))"),"")</f>
        <v/>
      </c>
      <c r="L65" s="25" t="str">
        <f ca="1">IFERROR(__xludf.DUMMYFUNCTION("IFERROR(IF(ISNUMBER(SEARCH(TEXTJOIN("", "", TRUE, FILTER($E$8:$E$204, $F$8:$F$204 = F65, $J$8:$J$204 = J65, $G$8:$G$204 &lt; H65, $H$8:$H$204 &gt; G65, ROW($E$8:$E$204) &lt;&gt; ROW(E65))), #REF!)), """", TEXTJOIN("", "", TRUE, FILTER($E$8:$E$204, $F$8:$F$204 = F65, "&amp;"$J$8:$J$204 = J65, $G$8:$G$204 &lt; H65, $H$8:$H$204 &gt; G65, ROW($E$8:$E$204) &lt;&gt; ROW(E65)))), """")"),"Χειρουργική ΙV (γραπτά)")</f>
        <v>Χειρουργική ΙV (γραπτά)</v>
      </c>
      <c r="M65" s="23" t="s">
        <v>123</v>
      </c>
      <c r="N65" s="13"/>
    </row>
    <row r="66" spans="1:14" x14ac:dyDescent="0.25">
      <c r="A66" s="21" t="s">
        <v>4</v>
      </c>
      <c r="B66" s="21" t="s">
        <v>56</v>
      </c>
      <c r="C66" s="4" t="str">
        <f t="shared" si="0"/>
        <v>3ο Έτος</v>
      </c>
      <c r="D66" s="22" t="s">
        <v>71</v>
      </c>
      <c r="E66" s="23" t="s">
        <v>124</v>
      </c>
      <c r="F66" s="14">
        <v>46283</v>
      </c>
      <c r="G66" s="24">
        <v>0.375</v>
      </c>
      <c r="H66" s="24">
        <v>0.5</v>
      </c>
      <c r="I66" s="4" t="str">
        <f t="shared" si="1"/>
        <v>09:00 - 12:00</v>
      </c>
      <c r="J66" s="4" t="s">
        <v>39</v>
      </c>
      <c r="K66" s="25" t="str">
        <f ca="1">IFERROR(__xludf.DUMMYFUNCTION("IF($E66="""", """", IF(OR(IFERROR(REGEXMATCH(TEXT($F66, ""dd/mm/yyyy""), SUBSTITUTE($G$2, "", "", ""|"")), FALSE), $F66=$G$4, $F66=$H$4), ""Εξέταση σε σ/κ ή αργία"", """"))"),"")</f>
        <v/>
      </c>
      <c r="L66" s="25" t="str">
        <f ca="1">IFERROR(__xludf.DUMMYFUNCTION("IFERROR(IF(ISNUMBER(SEARCH(TEXTJOIN("", "", TRUE, FILTER($E$8:$E$204, $F$8:$F$204 = F66, $J$8:$J$204 = J66, $G$8:$G$204 &lt; H66, $H$8:$H$204 &gt; G66, ROW($E$8:$E$204) &lt;&gt; ROW(E66))), #REF!)), """", TEXTJOIN("", "", TRUE, FILTER($E$8:$E$204, $F$8:$F$204 = F66, "&amp;"$J$8:$J$204 = J66, $G$8:$G$204 &lt; H66, $H$8:$H$204 &gt; G66, ROW($E$8:$E$204) &lt;&gt; ROW(E66)))), """")"),"")</f>
        <v/>
      </c>
      <c r="M66" s="23"/>
      <c r="N66" s="13"/>
    </row>
    <row r="67" spans="1:14" ht="30" x14ac:dyDescent="0.25">
      <c r="A67" s="21" t="s">
        <v>4</v>
      </c>
      <c r="B67" s="21" t="s">
        <v>56</v>
      </c>
      <c r="C67" s="4" t="str">
        <f t="shared" si="0"/>
        <v>3ο Έτος</v>
      </c>
      <c r="D67" s="22" t="s">
        <v>77</v>
      </c>
      <c r="E67" s="23" t="s">
        <v>125</v>
      </c>
      <c r="F67" s="14">
        <v>46282</v>
      </c>
      <c r="G67" s="24">
        <v>0.70833333333333337</v>
      </c>
      <c r="H67" s="24">
        <v>0.83333333333333337</v>
      </c>
      <c r="I67" s="4" t="str">
        <f t="shared" si="1"/>
        <v>17:00 - 20:00</v>
      </c>
      <c r="J67" s="4" t="s">
        <v>30</v>
      </c>
      <c r="K67" s="25" t="str">
        <f ca="1">IFERROR(__xludf.DUMMYFUNCTION("IF($E67="""", """", IF(OR(IFERROR(REGEXMATCH(TEXT($F67, ""dd/mm/yyyy""), SUBSTITUTE($G$2, "", "", ""|"")), FALSE), $F67=$G$4, $F67=$H$4), ""Εξέταση σε σ/κ ή αργία"", """"))"),"")</f>
        <v/>
      </c>
      <c r="L67" s="25" t="str">
        <f ca="1">IFERROR(__xludf.DUMMYFUNCTION("IFERROR(IF(ISNUMBER(SEARCH(TEXTJOIN("", "", TRUE, FILTER($E$8:$E$204, $F$8:$F$204 = F67, $J$8:$J$204 = J67, $G$8:$G$204 &lt; H67, $H$8:$H$204 &gt; G67, ROW($E$8:$E$204) &lt;&gt; ROW(E67))), #REF!)), """", TEXTJOIN("", "", TRUE, FILTER($E$8:$E$204, $F$8:$F$204 = F67, "&amp;"$J$8:$J$204 = J67, $G$8:$G$204 &lt; H67, $H$8:$H$204 &gt; G67, ROW($E$8:$E$204) &lt;&gt; ROW(E67)))), """")"),"")</f>
        <v/>
      </c>
      <c r="M67" s="23"/>
      <c r="N67" s="13"/>
    </row>
    <row r="68" spans="1:14" x14ac:dyDescent="0.25">
      <c r="A68" s="21" t="s">
        <v>4</v>
      </c>
      <c r="B68" s="21" t="s">
        <v>56</v>
      </c>
      <c r="C68" s="4" t="str">
        <f t="shared" si="0"/>
        <v>3ο Έτος</v>
      </c>
      <c r="D68" s="22" t="s">
        <v>107</v>
      </c>
      <c r="E68" s="23" t="s">
        <v>126</v>
      </c>
      <c r="F68" s="14">
        <v>46267</v>
      </c>
      <c r="G68" s="24">
        <v>0.375</v>
      </c>
      <c r="H68" s="24">
        <v>0.5</v>
      </c>
      <c r="I68" s="4" t="str">
        <f t="shared" si="1"/>
        <v>09:00 - 12:00</v>
      </c>
      <c r="J68" s="4" t="s">
        <v>39</v>
      </c>
      <c r="K68" s="25" t="str">
        <f ca="1">IFERROR(__xludf.DUMMYFUNCTION("IF($E68="""", """", IF(OR(IFERROR(REGEXMATCH(TEXT($F68, ""dd/mm/yyyy""), SUBSTITUTE($G$2, "", "", ""|"")), FALSE), $F68=$G$4, $F68=$H$4), ""Εξέταση σε σ/κ ή αργία"", """"))"),"")</f>
        <v/>
      </c>
      <c r="L68" s="25" t="str">
        <f ca="1">IFERROR(__xludf.DUMMYFUNCTION("IFERROR(IF(ISNUMBER(SEARCH(TEXTJOIN("", "", TRUE, FILTER($E$8:$E$204, $F$8:$F$204 = F68, $J$8:$J$204 = J68, $G$8:$G$204 &lt; H68, $H$8:$H$204 &gt; G68, ROW($E$8:$E$204) &lt;&gt; ROW(E68))), #REF!)), """", TEXTJOIN("", "", TRUE, FILTER($E$8:$E$204, $F$8:$F$204 = F68, "&amp;"$J$8:$J$204 = J68, $G$8:$G$204 &lt; H68, $H$8:$H$204 &gt; G68, ROW($E$8:$E$204) &lt;&gt; ROW(E68)))), """")"),"")</f>
        <v/>
      </c>
      <c r="M68" s="23"/>
      <c r="N68" s="13"/>
    </row>
    <row r="69" spans="1:14" ht="30" x14ac:dyDescent="0.25">
      <c r="A69" s="21" t="s">
        <v>4</v>
      </c>
      <c r="B69" s="21" t="s">
        <v>56</v>
      </c>
      <c r="C69" s="4" t="str">
        <f t="shared" si="0"/>
        <v>3ο Έτος</v>
      </c>
      <c r="D69" s="22" t="s">
        <v>92</v>
      </c>
      <c r="E69" s="23" t="s">
        <v>127</v>
      </c>
      <c r="F69" s="14">
        <v>46269</v>
      </c>
      <c r="G69" s="24">
        <v>0.625</v>
      </c>
      <c r="H69" s="24">
        <v>0.70833333333333337</v>
      </c>
      <c r="I69" s="4" t="str">
        <f t="shared" si="1"/>
        <v>15:00 - 17:00</v>
      </c>
      <c r="J69" s="4" t="s">
        <v>30</v>
      </c>
      <c r="K69" s="25" t="str">
        <f ca="1">IFERROR(__xludf.DUMMYFUNCTION("IF($E69="""", """", IF(OR(IFERROR(REGEXMATCH(TEXT($F69, ""dd/mm/yyyy""), SUBSTITUTE($G$2, "", "", ""|"")), FALSE), $F69=$G$4, $F69=$H$4), ""Εξέταση σε σ/κ ή αργία"", """"))"),"")</f>
        <v/>
      </c>
      <c r="L69" s="25" t="str">
        <f ca="1">IFERROR(__xludf.DUMMYFUNCTION("IFERROR(IF(ISNUMBER(SEARCH(TEXTJOIN("", "", TRUE, FILTER($E$8:$E$204, $F$8:$F$204 = F69, $J$8:$J$204 = J69, $G$8:$G$204 &lt; H69, $H$8:$H$204 &gt; G69, ROW($E$8:$E$204) &lt;&gt; ROW(E69))), #REF!)), """", TEXTJOIN("", "", TRUE, FILTER($E$8:$E$204, $F$8:$F$204 = F69, "&amp;"$J$8:$J$204 = J69, $G$8:$G$204 &lt; H69, $H$8:$H$204 &gt; G69, ROW($E$8:$E$204) &lt;&gt; ROW(E69)))), """")"),"Ειδική Παθολογία ΖΣ ΙΙ (ΠΠΣ)")</f>
        <v>Ειδική Παθολογία ΖΣ ΙΙ (ΠΠΣ)</v>
      </c>
      <c r="M69" s="23" t="s">
        <v>128</v>
      </c>
      <c r="N69" s="13"/>
    </row>
    <row r="70" spans="1:14" x14ac:dyDescent="0.25">
      <c r="A70" s="21" t="s">
        <v>4</v>
      </c>
      <c r="B70" s="21" t="s">
        <v>56</v>
      </c>
      <c r="C70" s="4" t="str">
        <f t="shared" si="0"/>
        <v>3ο Έτος</v>
      </c>
      <c r="D70" s="22" t="s">
        <v>92</v>
      </c>
      <c r="E70" s="23" t="s">
        <v>129</v>
      </c>
      <c r="F70" s="14">
        <v>46273</v>
      </c>
      <c r="G70" s="24">
        <v>0.625</v>
      </c>
      <c r="H70" s="24">
        <v>0.75</v>
      </c>
      <c r="I70" s="4" t="str">
        <f t="shared" si="1"/>
        <v>15:00 - 18:00</v>
      </c>
      <c r="J70" s="4" t="s">
        <v>30</v>
      </c>
      <c r="K70" s="25" t="str">
        <f ca="1">IFERROR(__xludf.DUMMYFUNCTION("IF($E70="""", """", IF(OR(IFERROR(REGEXMATCH(TEXT($F70, ""dd/mm/yyyy""), SUBSTITUTE($G$2, "", "", ""|"")), FALSE), $F70=$G$4, $F70=$H$4), ""Εξέταση σε σ/κ ή αργία"", """"))"),"")</f>
        <v/>
      </c>
      <c r="L70" s="25" t="str">
        <f ca="1">IFERROR(__xludf.DUMMYFUNCTION("IFERROR(IF(ISNUMBER(SEARCH(TEXTJOIN("", "", TRUE, FILTER($E$8:$E$204, $F$8:$F$204 = F70, $J$8:$J$204 = J70, $G$8:$G$204 &lt; H70, $H$8:$H$204 &gt; G70, ROW($E$8:$E$204) &lt;&gt; ROW(E70))), #REF!)), """", TEXTJOIN("", "", TRUE, FILTER($E$8:$E$204, $F$8:$F$204 = F70, "&amp;"$J$8:$J$204 = J70, $G$8:$G$204 &lt; H70, $H$8:$H$204 &gt; G70, ROW($E$8:$E$204) &lt;&gt; ROW(E70)))), """")"),"")</f>
        <v/>
      </c>
      <c r="M70" s="23"/>
      <c r="N70" s="13"/>
    </row>
    <row r="71" spans="1:14" ht="60" x14ac:dyDescent="0.25">
      <c r="A71" s="21" t="s">
        <v>4</v>
      </c>
      <c r="B71" s="21" t="s">
        <v>56</v>
      </c>
      <c r="C71" s="4" t="str">
        <f t="shared" si="0"/>
        <v>3ο Έτος</v>
      </c>
      <c r="D71" s="22" t="s">
        <v>87</v>
      </c>
      <c r="E71" s="23" t="s">
        <v>130</v>
      </c>
      <c r="F71" s="14">
        <v>46272</v>
      </c>
      <c r="G71" s="24">
        <v>0.58333333333333337</v>
      </c>
      <c r="H71" s="24">
        <v>0.66666666666666663</v>
      </c>
      <c r="I71" s="4" t="str">
        <f t="shared" si="1"/>
        <v>14:00 - 16:00</v>
      </c>
      <c r="J71" s="4" t="s">
        <v>70</v>
      </c>
      <c r="K71" s="25" t="str">
        <f ca="1">IFERROR(__xludf.DUMMYFUNCTION("IF($E71="""", """", IF(OR(IFERROR(REGEXMATCH(TEXT($F71, ""dd/mm/yyyy""), SUBSTITUTE($G$2, "", "", ""|"")), FALSE), $F71=$G$4, $F71=$H$4), ""Εξέταση σε σ/κ ή αργία"", """"))"),"")</f>
        <v/>
      </c>
      <c r="L71" s="25" t="str">
        <f ca="1">IFERROR(__xludf.DUMMYFUNCTION("IFERROR(IF(ISNUMBER(SEARCH(TEXTJOIN("", "", TRUE, FILTER($E$8:$E$204, $F$8:$F$204 = F71, $J$8:$J$204 = J71, $G$8:$G$204 &lt; H71, $H$8:$H$204 &gt; G71, ROW($E$8:$E$204) &lt;&gt; ROW(E71))), #REF!)), """", TEXTJOIN("", "", TRUE, FILTER($E$8:$E$204, $F$8:$F$204 = F71, "&amp;"$J$8:$J$204 = J71, $G$8:$G$204 &lt; H71, $H$8:$H$204 &gt; G71, ROW($E$8:$E$204) &lt;&gt; ROW(E71)))), """")"),"")</f>
        <v/>
      </c>
      <c r="M71" s="23"/>
      <c r="N71" s="13"/>
    </row>
    <row r="72" spans="1:14" ht="60" x14ac:dyDescent="0.25">
      <c r="A72" s="21" t="s">
        <v>4</v>
      </c>
      <c r="B72" s="21" t="s">
        <v>56</v>
      </c>
      <c r="C72" s="4" t="str">
        <f t="shared" si="0"/>
        <v>3ο Έτος</v>
      </c>
      <c r="D72" s="22" t="s">
        <v>87</v>
      </c>
      <c r="E72" s="23" t="s">
        <v>131</v>
      </c>
      <c r="F72" s="14">
        <v>46272</v>
      </c>
      <c r="G72" s="30">
        <v>0.5</v>
      </c>
      <c r="H72" s="24">
        <v>0.58333333333333337</v>
      </c>
      <c r="I72" s="4" t="str">
        <f t="shared" si="1"/>
        <v>12:00 - 14:00</v>
      </c>
      <c r="J72" s="4" t="s">
        <v>132</v>
      </c>
      <c r="K72" s="25" t="str">
        <f ca="1">IFERROR(__xludf.DUMMYFUNCTION("IF($E72="""", """", IF(OR(IFERROR(REGEXMATCH(TEXT($F72, ""dd/mm/yyyy""), SUBSTITUTE($G$2, "", "", ""|"")), FALSE), $F72=$G$4, $F72=$H$4), ""Εξέταση σε σ/κ ή αργία"", """"))"),"")</f>
        <v/>
      </c>
      <c r="L72" s="25" t="str">
        <f ca="1">IFERROR(__xludf.DUMMYFUNCTION("IFERROR(IF(ISNUMBER(SEARCH(TEXTJOIN("", "", TRUE, FILTER($E$8:$E$204, $F$8:$F$204 = F72, $J$8:$J$204 = J72, $G$8:$G$204 &lt; H72, $H$8:$H$204 &gt; G72, ROW($E$8:$E$204) &lt;&gt; ROW(E72))), #REF!)), """", TEXTJOIN("", "", TRUE, FILTER($E$8:$E$204, $F$8:$F$204 = F72, "&amp;"$J$8:$J$204 = J72, $G$8:$G$204 &lt; H72, $H$8:$H$204 &gt; G72, ROW($E$8:$E$204) &lt;&gt; ROW(E72)))), """")"),"")</f>
        <v/>
      </c>
      <c r="M72" s="23"/>
      <c r="N72" s="13"/>
    </row>
    <row r="73" spans="1:14" ht="120" x14ac:dyDescent="0.25">
      <c r="A73" s="21" t="s">
        <v>4</v>
      </c>
      <c r="B73" s="21" t="s">
        <v>56</v>
      </c>
      <c r="C73" s="4" t="str">
        <f t="shared" si="0"/>
        <v>3ο Έτος</v>
      </c>
      <c r="D73" s="22" t="s">
        <v>115</v>
      </c>
      <c r="E73" s="23" t="s">
        <v>133</v>
      </c>
      <c r="F73" s="14">
        <v>46280</v>
      </c>
      <c r="G73" s="24">
        <v>0.70833333333333337</v>
      </c>
      <c r="H73" s="24">
        <v>0.83333333333333337</v>
      </c>
      <c r="I73" s="4" t="str">
        <f t="shared" si="1"/>
        <v>17:00 - 20:00</v>
      </c>
      <c r="J73" s="4" t="s">
        <v>39</v>
      </c>
      <c r="K73" s="25" t="str">
        <f ca="1">IFERROR(__xludf.DUMMYFUNCTION("IF($E73="""", """", IF(OR(IFERROR(REGEXMATCH(TEXT($F73, ""dd/mm/yyyy""), SUBSTITUTE($G$2, "", "", ""|"")), FALSE), $F73=$G$4, $F73=$H$4), ""Εξέταση σε σ/κ ή αργία"", """"))"),"")</f>
        <v/>
      </c>
      <c r="L73" s="25" t="str">
        <f ca="1">IFERROR(__xludf.DUMMYFUNCTION("IFERROR(IF(ISNUMBER(SEARCH(TEXTJOIN("", "", TRUE, FILTER($E$8:$E$204, $F$8:$F$204 = F73, $J$8:$J$204 = J73, $G$8:$G$204 &lt; H73, $H$8:$H$204 &gt; G73, ROW($E$8:$E$204) &lt;&gt; ROW(E73))), #REF!)), """", TEXTJOIN("", "", TRUE, FILTER($E$8:$E$204, $F$8:$F$204 = F73, "&amp;"$J$8:$J$204 = J73, $G$8:$G$204 &lt; H73, $H$8:$H$204 &gt; G73, ROW($E$8:$E$204) &lt;&gt; ROW(E73)))), """")"),"Εξειδικευμένα Μαθήματα Ερμηνείας Αποτελεσμάτων Εξετάσεων Κλινικής Διαγνωστικής στα Ζώα Συντροφιάς, Επιλεγμένα Νοσήματα της Άγριας Πανίδας")</f>
        <v>Εξειδικευμένα Μαθήματα Ερμηνείας Αποτελεσμάτων Εξετάσεων Κλινικής Διαγνωστικής στα Ζώα Συντροφιάς, Επιλεγμένα Νοσήματα της Άγριας Πανίδας</v>
      </c>
      <c r="M73" s="23"/>
      <c r="N73" s="13"/>
    </row>
    <row r="74" spans="1:14" ht="30" x14ac:dyDescent="0.25">
      <c r="A74" s="21" t="s">
        <v>4</v>
      </c>
      <c r="B74" s="21" t="s">
        <v>56</v>
      </c>
      <c r="C74" s="4" t="str">
        <f t="shared" si="0"/>
        <v>3ο Έτος</v>
      </c>
      <c r="D74" s="22" t="s">
        <v>83</v>
      </c>
      <c r="E74" s="23" t="s">
        <v>134</v>
      </c>
      <c r="F74" s="14">
        <v>46268</v>
      </c>
      <c r="G74" s="24">
        <v>0.75</v>
      </c>
      <c r="H74" s="24">
        <v>0.875</v>
      </c>
      <c r="I74" s="4" t="str">
        <f t="shared" si="1"/>
        <v>18:00 - 21:00</v>
      </c>
      <c r="J74" s="4" t="s">
        <v>121</v>
      </c>
      <c r="K74" s="25" t="str">
        <f ca="1">IFERROR(__xludf.DUMMYFUNCTION("IF($E74="""", """", IF(OR(IFERROR(REGEXMATCH(TEXT($F74, ""dd/mm/yyyy""), SUBSTITUTE($G$2, "", "", ""|"")), FALSE), $F74=$G$4, $F74=$H$4), ""Εξέταση σε σ/κ ή αργία"", """"))"),"")</f>
        <v/>
      </c>
      <c r="L74" s="25" t="str">
        <f ca="1">IFERROR(__xludf.DUMMYFUNCTION("IFERROR(IF(ISNUMBER(SEARCH(TEXTJOIN("", "", TRUE, FILTER($E$8:$E$204, $F$8:$F$204 = F74, $J$8:$J$204 = J74, $G$8:$G$204 &lt; H74, $H$8:$H$204 &gt; G74, ROW($E$8:$E$204) &lt;&gt; ROW(E74))), #REF!)), """", TEXTJOIN("", "", TRUE, FILTER($E$8:$E$204, $F$8:$F$204 = F74, "&amp;"$J$8:$J$204 = J74, $G$8:$G$204 &lt; H74, $H$8:$H$204 &gt; G74, ROW($E$8:$E$204) &lt;&gt; ROW(E74)))), """")"),"")</f>
        <v/>
      </c>
      <c r="M74" s="23"/>
      <c r="N74" s="13"/>
    </row>
    <row r="75" spans="1:14" ht="90" x14ac:dyDescent="0.25">
      <c r="A75" s="21" t="s">
        <v>4</v>
      </c>
      <c r="B75" s="21" t="s">
        <v>56</v>
      </c>
      <c r="C75" s="4" t="str">
        <f t="shared" si="0"/>
        <v>3ο Έτος</v>
      </c>
      <c r="D75" s="22" t="s">
        <v>92</v>
      </c>
      <c r="E75" s="23" t="s">
        <v>135</v>
      </c>
      <c r="F75" s="14">
        <v>46280</v>
      </c>
      <c r="G75" s="24">
        <v>0.70833333333333337</v>
      </c>
      <c r="H75" s="24">
        <v>0.83333333333333337</v>
      </c>
      <c r="I75" s="4" t="str">
        <f t="shared" si="1"/>
        <v>17:00 - 20:00</v>
      </c>
      <c r="J75" s="4" t="s">
        <v>39</v>
      </c>
      <c r="K75" s="25" t="str">
        <f ca="1">IFERROR(__xludf.DUMMYFUNCTION("IF($E75="""", """", IF(OR(IFERROR(REGEXMATCH(TEXT($F75, ""dd/mm/yyyy""), SUBSTITUTE($G$2, "", "", ""|"")), FALSE), $F75=$G$4, $F75=$H$4), ""Εξέταση σε σ/κ ή αργία"", """"))"),"")</f>
        <v/>
      </c>
      <c r="L75" s="25" t="str">
        <f ca="1">IFERROR(__xludf.DUMMYFUNCTION("IFERROR(IF(ISNUMBER(SEARCH(TEXTJOIN("", "", TRUE, FILTER($E$8:$E$204, $F$8:$F$204 = F75, $J$8:$J$204 = J75, $G$8:$G$204 &lt; H75, $H$8:$H$204 &gt; G75, ROW($E$8:$E$204) &lt;&gt; ROW(E75))), #REF!)), """", TEXTJOIN("", "", TRUE, FILTER($E$8:$E$204, $F$8:$F$204 = F75, "&amp;"$J$8:$J$204 = J75, $G$8:$G$204 &lt; H75, $H$8:$H$204 &gt; G75, ROW($E$8:$E$204) &lt;&gt; ROW(E75)))), """")"),"Βασικές Αρχές Λειτουργίας &amp; Χρήσης Αναισθησιολογικού Εξοπλισμού, Επιλεγμένα Νοσήματα της Άγριας Πανίδας")</f>
        <v>Βασικές Αρχές Λειτουργίας &amp; Χρήσης Αναισθησιολογικού Εξοπλισμού, Επιλεγμένα Νοσήματα της Άγριας Πανίδας</v>
      </c>
      <c r="M75" s="23"/>
      <c r="N75" s="13"/>
    </row>
    <row r="76" spans="1:14" ht="150" x14ac:dyDescent="0.25">
      <c r="A76" s="21" t="s">
        <v>4</v>
      </c>
      <c r="B76" s="21" t="s">
        <v>56</v>
      </c>
      <c r="C76" s="4" t="str">
        <f t="shared" si="0"/>
        <v>3ο Έτος</v>
      </c>
      <c r="D76" s="22" t="s">
        <v>77</v>
      </c>
      <c r="E76" s="23" t="s">
        <v>136</v>
      </c>
      <c r="F76" s="14">
        <v>46280</v>
      </c>
      <c r="G76" s="24">
        <v>0.70833333333333337</v>
      </c>
      <c r="H76" s="24">
        <v>0.83333333333333337</v>
      </c>
      <c r="I76" s="4" t="str">
        <f t="shared" si="1"/>
        <v>17:00 - 20:00</v>
      </c>
      <c r="J76" s="4" t="s">
        <v>39</v>
      </c>
      <c r="K76" s="25" t="str">
        <f ca="1">IFERROR(__xludf.DUMMYFUNCTION("IF($E76="""", """", IF(OR(IFERROR(REGEXMATCH(TEXT($F76, ""dd/mm/yyyy""), SUBSTITUTE($G$2, "", "", ""|"")), FALSE), $F76=$G$4, $F76=$H$4), ""Εξέταση σε σ/κ ή αργία"", """"))"),"")</f>
        <v/>
      </c>
      <c r="L76" s="25" t="str">
        <f ca="1">IFERROR(__xludf.DUMMYFUNCTION("IFERROR(IF(ISNUMBER(SEARCH(TEXTJOIN("", "", TRUE, FILTER($E$8:$E$204, $F$8:$F$204 = F76, $J$8:$J$204 = J76, $G$8:$G$204 &lt; H76, $H$8:$H$204 &gt; G76, ROW($E$8:$E$204) &lt;&gt; ROW(E76))), #REF!)), """", TEXTJOIN("", "", TRUE, FILTER($E$8:$E$204, $F$8:$F$204 = F76, "&amp;"$J$8:$J$204 = J76, $G$8:$G$204 &lt; H76, $H$8:$H$204 &gt; G76, ROW($E$8:$E$204) &lt;&gt; ROW(E76)))), """")"),"Βασικές Αρχές Λειτουργίας &amp; Χρήσης Αναισθησιολογικού Εξοπλισμού, Εξειδικευμένα Μαθήματα Ερμηνείας Αποτελεσμάτων Εξετάσεων Κλινικής Διαγνωστικής στα Ζώα Συντροφιάς")</f>
        <v>Βασικές Αρχές Λειτουργίας &amp; Χρήσης Αναισθησιολογικού Εξοπλισμού, Εξειδικευμένα Μαθήματα Ερμηνείας Αποτελεσμάτων Εξετάσεων Κλινικής Διαγνωστικής στα Ζώα Συντροφιάς</v>
      </c>
      <c r="M76" s="23"/>
      <c r="N76" s="13"/>
    </row>
    <row r="77" spans="1:14" ht="30" x14ac:dyDescent="0.25">
      <c r="A77" s="21" t="s">
        <v>5</v>
      </c>
      <c r="B77" s="21" t="s">
        <v>28</v>
      </c>
      <c r="C77" s="4" t="str">
        <f t="shared" si="0"/>
        <v>4ο Έτος</v>
      </c>
      <c r="D77" s="22" t="s">
        <v>115</v>
      </c>
      <c r="E77" s="23" t="s">
        <v>137</v>
      </c>
      <c r="F77" s="14">
        <v>46268</v>
      </c>
      <c r="G77" s="24">
        <v>0.5</v>
      </c>
      <c r="H77" s="24">
        <v>0.58333333333333337</v>
      </c>
      <c r="I77" s="4" t="str">
        <f t="shared" si="1"/>
        <v>12:00 - 14:00</v>
      </c>
      <c r="J77" s="4" t="s">
        <v>39</v>
      </c>
      <c r="K77" s="25" t="str">
        <f ca="1">IFERROR(__xludf.DUMMYFUNCTION("IF($E77="""", """", IF(OR(IFERROR(REGEXMATCH(TEXT($F77, ""dd/mm/yyyy""), SUBSTITUTE($G$2, "", "", ""|"")), FALSE), $F77=$G$4, $F77=$H$4), ""Εξέταση σε σ/κ ή αργία"", """"))"),"")</f>
        <v/>
      </c>
      <c r="L77" s="25" t="str">
        <f ca="1">IFERROR(__xludf.DUMMYFUNCTION("IFERROR(IF(ISNUMBER(SEARCH(TEXTJOIN("", "", TRUE, FILTER($E$8:$E$204, $F$8:$F$204 = F77, $J$8:$J$204 = J77, $G$8:$G$204 &lt; H77, $H$8:$H$204 &gt; G77, ROW($E$8:$E$204) &lt;&gt; ROW(E77))), #REF!)), """", TEXTJOIN("", "", TRUE, FILTER($E$8:$E$204, $F$8:$F$204 = F77, "&amp;"$J$8:$J$204 = J77, $G$8:$G$204 &lt; H77, $H$8:$H$204 &gt; G77, ROW($E$8:$E$204) &lt;&gt; ROW(E77)))), """")"),"Χειρουργική Ι (γραπτά)")</f>
        <v>Χειρουργική Ι (γραπτά)</v>
      </c>
      <c r="M77" s="23" t="s">
        <v>138</v>
      </c>
      <c r="N77" s="13"/>
    </row>
    <row r="78" spans="1:14" ht="60" x14ac:dyDescent="0.25">
      <c r="A78" s="21" t="s">
        <v>5</v>
      </c>
      <c r="B78" s="21" t="s">
        <v>28</v>
      </c>
      <c r="C78" s="4" t="str">
        <f t="shared" si="0"/>
        <v>4ο Έτος</v>
      </c>
      <c r="D78" s="22" t="s">
        <v>83</v>
      </c>
      <c r="E78" s="23" t="s">
        <v>139</v>
      </c>
      <c r="F78" s="14">
        <v>46273</v>
      </c>
      <c r="G78" s="24">
        <v>0.41666666666666669</v>
      </c>
      <c r="H78" s="24">
        <v>0.54166666666666663</v>
      </c>
      <c r="I78" s="4" t="str">
        <f t="shared" si="1"/>
        <v>10:00 - 13:00</v>
      </c>
      <c r="J78" s="4" t="s">
        <v>30</v>
      </c>
      <c r="K78" s="25" t="str">
        <f ca="1">IFERROR(__xludf.DUMMYFUNCTION("IF($E78="""", """", IF(OR(IFERROR(REGEXMATCH(TEXT($F78, ""dd/mm/yyyy""), SUBSTITUTE($G$2, "", "", ""|"")), FALSE), $F78=$G$4, $F78=$H$4), ""Εξέταση σε σ/κ ή αργία"", """"))"),"")</f>
        <v/>
      </c>
      <c r="L78" s="25" t="str">
        <f ca="1">IFERROR(__xludf.DUMMYFUNCTION("IFERROR(IF(ISNUMBER(SEARCH(TEXTJOIN("", "", TRUE, FILTER($E$8:$E$204, $F$8:$F$204 = F78, $J$8:$J$204 = J78, $G$8:$G$204 &lt; H78, $H$8:$H$204 &gt; G78, ROW($E$8:$E$204) &lt;&gt; ROW(E78))), #REF!)), """", TEXTJOIN("", "", TRUE, FILTER($E$8:$E$204, $F$8:$F$204 = F78, "&amp;"$J$8:$J$204 = J78, $G$8:$G$204 &lt; H78, $H$8:$H$204 &gt; G78, ROW($E$8:$E$204) &lt;&gt; ROW(E78)))), """")"),"Διαγνωστική Παθολογική Αντομική ΙΙ (ΔΠΑ ΙΙ - παραγωγικά ζώα) (ΠΠΣ)")</f>
        <v>Διαγνωστική Παθολογική Αντομική ΙΙ (ΔΠΑ ΙΙ - παραγωγικά ζώα) (ΠΠΣ)</v>
      </c>
      <c r="M78" s="23" t="s">
        <v>140</v>
      </c>
      <c r="N78" s="13"/>
    </row>
    <row r="79" spans="1:14" x14ac:dyDescent="0.25">
      <c r="A79" s="21" t="s">
        <v>5</v>
      </c>
      <c r="B79" s="21" t="s">
        <v>28</v>
      </c>
      <c r="C79" s="4" t="str">
        <f t="shared" si="0"/>
        <v>4ο Έτος</v>
      </c>
      <c r="D79" s="22" t="s">
        <v>107</v>
      </c>
      <c r="E79" s="23" t="s">
        <v>141</v>
      </c>
      <c r="F79" s="14">
        <v>46269</v>
      </c>
      <c r="G79" s="24">
        <v>0.375</v>
      </c>
      <c r="H79" s="24">
        <v>0.5</v>
      </c>
      <c r="I79" s="4" t="str">
        <f t="shared" si="1"/>
        <v>09:00 - 12:00</v>
      </c>
      <c r="J79" s="4" t="s">
        <v>39</v>
      </c>
      <c r="K79" s="25" t="str">
        <f ca="1">IFERROR(__xludf.DUMMYFUNCTION("IF($E79="""", """", IF(OR(IFERROR(REGEXMATCH(TEXT($F79, ""dd/mm/yyyy""), SUBSTITUTE($G$2, "", "", ""|"")), FALSE), $F79=$G$4, $F79=$H$4), ""Εξέταση σε σ/κ ή αργία"", """"))"),"")</f>
        <v/>
      </c>
      <c r="L79" s="25" t="str">
        <f ca="1">IFERROR(__xludf.DUMMYFUNCTION("IFERROR(IF(ISNUMBER(SEARCH(TEXTJOIN("", "", TRUE, FILTER($E$8:$E$204, $F$8:$F$204 = F79, $J$8:$J$204 = J79, $G$8:$G$204 &lt; H79, $H$8:$H$204 &gt; G79, ROW($E$8:$E$204) &lt;&gt; ROW(E79))), #REF!)), """", TEXTJOIN("", "", TRUE, FILTER($E$8:$E$204, $F$8:$F$204 = F79, "&amp;"$J$8:$J$204 = J79, $G$8:$G$204 &lt; H79, $H$8:$H$204 &gt; G79, ROW($E$8:$E$204) &lt;&gt; ROW(E79)))), """")"),"")</f>
        <v/>
      </c>
      <c r="M79" s="23"/>
      <c r="N79" s="13"/>
    </row>
    <row r="80" spans="1:14" x14ac:dyDescent="0.25">
      <c r="A80" s="21" t="s">
        <v>5</v>
      </c>
      <c r="B80" s="21" t="s">
        <v>28</v>
      </c>
      <c r="C80" s="4" t="str">
        <f t="shared" si="0"/>
        <v>4ο Έτος</v>
      </c>
      <c r="D80" s="22" t="s">
        <v>115</v>
      </c>
      <c r="E80" s="23" t="s">
        <v>142</v>
      </c>
      <c r="F80" s="14">
        <v>46267</v>
      </c>
      <c r="G80" s="24">
        <v>0.5</v>
      </c>
      <c r="H80" s="24">
        <v>0.58333333333333337</v>
      </c>
      <c r="I80" s="4" t="str">
        <f t="shared" si="1"/>
        <v>12:00 - 14:00</v>
      </c>
      <c r="J80" s="4" t="s">
        <v>39</v>
      </c>
      <c r="K80" s="25" t="str">
        <f ca="1">IFERROR(__xludf.DUMMYFUNCTION("IF($E80="""", """", IF(OR(IFERROR(REGEXMATCH(TEXT($F80, ""dd/mm/yyyy""), SUBSTITUTE($G$2, "", "", ""|"")), FALSE), $F80=$G$4, $F80=$H$4), ""Εξέταση σε σ/κ ή αργία"", """"))"),"")</f>
        <v/>
      </c>
      <c r="L80" s="25" t="str">
        <f ca="1">IFERROR(__xludf.DUMMYFUNCTION("IFERROR(IF(ISNUMBER(SEARCH(TEXTJOIN("", "", TRUE, FILTER($E$8:$E$204, $F$8:$F$204 = F80, $J$8:$J$204 = J80, $G$8:$G$204 &lt; H80, $H$8:$H$204 &gt; G80, ROW($E$8:$E$204) &lt;&gt; ROW(E80))), #REF!)), """", TEXTJOIN("", "", TRUE, FILTER($E$8:$E$204, $F$8:$F$204 = F80, "&amp;"$J$8:$J$204 = J80, $G$8:$G$204 &lt; H80, $H$8:$H$204 &gt; G80, ROW($E$8:$E$204) &lt;&gt; ROW(E80)))), """")"),"Χειρουργική ΙΙ (γραπτά)")</f>
        <v>Χειρουργική ΙΙ (γραπτά)</v>
      </c>
      <c r="M80" s="23" t="s">
        <v>143</v>
      </c>
      <c r="N80" s="13"/>
    </row>
    <row r="81" spans="1:14" ht="30" x14ac:dyDescent="0.25">
      <c r="A81" s="21" t="s">
        <v>5</v>
      </c>
      <c r="B81" s="21" t="s">
        <v>28</v>
      </c>
      <c r="C81" s="4" t="str">
        <f t="shared" si="0"/>
        <v>4ο Έτος</v>
      </c>
      <c r="D81" s="22" t="s">
        <v>92</v>
      </c>
      <c r="E81" s="23" t="s">
        <v>144</v>
      </c>
      <c r="F81" s="14">
        <v>46267</v>
      </c>
      <c r="G81" s="24">
        <v>0.66666666666666663</v>
      </c>
      <c r="H81" s="24">
        <v>0.75</v>
      </c>
      <c r="I81" s="4" t="str">
        <f t="shared" si="1"/>
        <v>16:00 - 18:00</v>
      </c>
      <c r="J81" s="4" t="s">
        <v>30</v>
      </c>
      <c r="K81" s="25" t="str">
        <f ca="1">IFERROR(__xludf.DUMMYFUNCTION("IF($E81="""", """", IF(OR(IFERROR(REGEXMATCH(TEXT($F81, ""dd/mm/yyyy""), SUBSTITUTE($G$2, "", "", ""|"")), FALSE), $F81=$G$4, $F81=$H$4), ""Εξέταση σε σ/κ ή αργία"", """"))"),"")</f>
        <v/>
      </c>
      <c r="L81" s="25" t="str">
        <f ca="1">IFERROR(__xludf.DUMMYFUNCTION("IFERROR(IF(ISNUMBER(SEARCH(TEXTJOIN("", "", TRUE, FILTER($E$8:$E$204, $F$8:$F$204 = F81, $J$8:$J$204 = J81, $G$8:$G$204 &lt; H81, $H$8:$H$204 &gt; G81, ROW($E$8:$E$204) &lt;&gt; ROW(E81))), #REF!)), """", TEXTJOIN("", "", TRUE, FILTER($E$8:$E$204, $F$8:$F$204 = F81, "&amp;"$J$8:$J$204 = J81, $G$8:$G$204 &lt; H81, $H$8:$H$204 &gt; G81, ROW($E$8:$E$204) &lt;&gt; ROW(E81)))), """")"),"Ειδική Παθολογία ΖΣ ΙΙΙ (ΠΠΣ)")</f>
        <v>Ειδική Παθολογία ΖΣ ΙΙΙ (ΠΠΣ)</v>
      </c>
      <c r="M81" s="23" t="s">
        <v>145</v>
      </c>
      <c r="N81" s="13"/>
    </row>
    <row r="82" spans="1:14" ht="90" x14ac:dyDescent="0.25">
      <c r="A82" s="21" t="s">
        <v>5</v>
      </c>
      <c r="B82" s="21" t="s">
        <v>28</v>
      </c>
      <c r="C82" s="4" t="str">
        <f t="shared" si="0"/>
        <v>4ο Έτος</v>
      </c>
      <c r="D82" s="22" t="s">
        <v>92</v>
      </c>
      <c r="E82" s="23" t="s">
        <v>146</v>
      </c>
      <c r="F82" s="14">
        <v>46279</v>
      </c>
      <c r="G82" s="24">
        <v>0.66666666666666663</v>
      </c>
      <c r="H82" s="24">
        <v>0.75</v>
      </c>
      <c r="I82" s="4" t="str">
        <f t="shared" si="1"/>
        <v>16:00 - 18:00</v>
      </c>
      <c r="J82" s="4" t="s">
        <v>39</v>
      </c>
      <c r="K82" s="25" t="str">
        <f ca="1">IFERROR(__xludf.DUMMYFUNCTION("IF($E82="""", """", IF(OR(IFERROR(REGEXMATCH(TEXT($F82, ""dd/mm/yyyy""), SUBSTITUTE($G$2, "", "", ""|"")), FALSE), $F82=$G$4, $F82=$H$4), ""Εξέταση σε σ/κ ή αργία"", """"))"),"")</f>
        <v/>
      </c>
      <c r="L82" s="25" t="str">
        <f ca="1">IFERROR(__xludf.DUMMYFUNCTION("IFERROR(IF(ISNUMBER(SEARCH(TEXTJOIN("", "", TRUE, FILTER($E$8:$E$204, $F$8:$F$204 = F82, $J$8:$J$204 = J82, $G$8:$G$204 &lt; H82, $H$8:$H$204 &gt; G82, ROW($E$8:$E$204) &lt;&gt; ROW(E82))), #REF!)), """", TEXTJOIN("", "", TRUE, FILTER($E$8:$E$204, $F$8:$F$204 = F82, "&amp;"$J$8:$J$204 = J82, $G$8:$G$204 &lt; H82, $H$8:$H$204 &gt; G82, ROW($E$8:$E$204) &lt;&gt; ROW(E82)))), """")"),"Παθολογία Παραγωγικών Ζώων ΙV, Εξειδικευμένα Μαθήματα Αναπαραγωγής Ζώων Συντροφιάς")</f>
        <v>Παθολογία Παραγωγικών Ζώων ΙV, Εξειδικευμένα Μαθήματα Αναπαραγωγής Ζώων Συντροφιάς</v>
      </c>
      <c r="M82" s="23"/>
      <c r="N82" s="13"/>
    </row>
    <row r="83" spans="1:14" ht="75" x14ac:dyDescent="0.25">
      <c r="A83" s="21" t="s">
        <v>5</v>
      </c>
      <c r="B83" s="21" t="s">
        <v>28</v>
      </c>
      <c r="C83" s="4" t="str">
        <f t="shared" si="0"/>
        <v>4ο Έτος</v>
      </c>
      <c r="D83" s="22" t="s">
        <v>147</v>
      </c>
      <c r="E83" s="23" t="s">
        <v>148</v>
      </c>
      <c r="F83" s="14">
        <v>46283</v>
      </c>
      <c r="G83" s="24">
        <v>0.625</v>
      </c>
      <c r="H83" s="24">
        <v>0.70833333333333337</v>
      </c>
      <c r="I83" s="4" t="str">
        <f t="shared" si="1"/>
        <v>15:00 - 17:00</v>
      </c>
      <c r="J83" s="4" t="s">
        <v>30</v>
      </c>
      <c r="K83" s="25" t="str">
        <f ca="1">IFERROR(__xludf.DUMMYFUNCTION("IF($E83="""", """", IF(OR(IFERROR(REGEXMATCH(TEXT($F83, ""dd/mm/yyyy""), SUBSTITUTE($G$2, "", "", ""|"")), FALSE), $F83=$G$4, $F83=$H$4), ""Εξέταση σε σ/κ ή αργία"", """"))"),"")</f>
        <v/>
      </c>
      <c r="L83" s="25" t="str">
        <f ca="1">IFERROR(__xludf.DUMMYFUNCTION("IFERROR(IF(ISNUMBER(SEARCH(TEXTJOIN("", "", TRUE, FILTER($E$8:$E$204, $F$8:$F$204 = F83, $J$8:$J$204 = J83, $G$8:$G$204 &lt; H83, $H$8:$H$204 &gt; G83, ROW($E$8:$E$204) &lt;&gt; ROW(E83))), #REF!)), """", TEXTJOIN("", "", TRUE, FILTER($E$8:$E$204, $F$8:$F$204 = F83, "&amp;"$J$8:$J$204 = J83, $G$8:$G$204 &lt; H83, $H$8:$H$204 &gt; G83, ROW($E$8:$E$204) &lt;&gt; ROW(E83)))), """")"),"Παθολογία Πτηνών ΙI, Πρακτική Άσκηση στην Παθολογία Πτηνών Ι, Πρακτική Άσκηση στην Παθολογία Πτηνών ΙΙ")</f>
        <v>Παθολογία Πτηνών ΙI, Πρακτική Άσκηση στην Παθολογία Πτηνών Ι, Πρακτική Άσκηση στην Παθολογία Πτηνών ΙΙ</v>
      </c>
      <c r="M83" s="23" t="s">
        <v>149</v>
      </c>
      <c r="N83" s="13"/>
    </row>
    <row r="84" spans="1:14" ht="30" x14ac:dyDescent="0.25">
      <c r="A84" s="21" t="s">
        <v>5</v>
      </c>
      <c r="B84" s="21" t="s">
        <v>28</v>
      </c>
      <c r="C84" s="4" t="str">
        <f t="shared" si="0"/>
        <v>4ο Έτος</v>
      </c>
      <c r="D84" s="22" t="s">
        <v>87</v>
      </c>
      <c r="E84" s="23" t="s">
        <v>150</v>
      </c>
      <c r="F84" s="14">
        <v>46274</v>
      </c>
      <c r="G84" s="24">
        <v>0.375</v>
      </c>
      <c r="H84" s="24">
        <v>0.5</v>
      </c>
      <c r="I84" s="4" t="str">
        <f t="shared" si="1"/>
        <v>09:00 - 12:00</v>
      </c>
      <c r="J84" s="4" t="s">
        <v>39</v>
      </c>
      <c r="K84" s="25" t="str">
        <f ca="1">IFERROR(__xludf.DUMMYFUNCTION("IF($E84="""", """", IF(OR(IFERROR(REGEXMATCH(TEXT($F84, ""dd/mm/yyyy""), SUBSTITUTE($G$2, "", "", ""|"")), FALSE), $F84=$G$4, $F84=$H$4), ""Εξέταση σε σ/κ ή αργία"", """"))"),"")</f>
        <v/>
      </c>
      <c r="L84" s="25" t="str">
        <f ca="1">IFERROR(__xludf.DUMMYFUNCTION("IFERROR(IF(ISNUMBER(SEARCH(TEXTJOIN("", "", TRUE, FILTER($E$8:$E$204, $F$8:$F$204 = F84, $J$8:$J$204 = J84, $G$8:$G$204 &lt; H84, $H$8:$H$204 &gt; G84, ROW($E$8:$E$204) &lt;&gt; ROW(E84))), #REF!)), """", TEXTJOIN("", "", TRUE, FILTER($E$8:$E$204, $F$8:$F$204 = F84, "&amp;"$J$8:$J$204 = J84, $G$8:$G$204 &lt; H84, $H$8:$H$204 &gt; G84, ROW($E$8:$E$204) &lt;&gt; ROW(E84)))), """")"),"")</f>
        <v/>
      </c>
      <c r="M84" s="23"/>
      <c r="N84" s="13"/>
    </row>
    <row r="85" spans="1:14" ht="165" x14ac:dyDescent="0.25">
      <c r="A85" s="21" t="s">
        <v>5</v>
      </c>
      <c r="B85" s="21" t="s">
        <v>28</v>
      </c>
      <c r="C85" s="4" t="str">
        <f t="shared" si="0"/>
        <v>4ο Έτος</v>
      </c>
      <c r="D85" s="22" t="s">
        <v>107</v>
      </c>
      <c r="E85" s="23" t="s">
        <v>151</v>
      </c>
      <c r="F85" s="14">
        <v>46281</v>
      </c>
      <c r="G85" s="24">
        <v>0.375</v>
      </c>
      <c r="H85" s="24">
        <v>0.5</v>
      </c>
      <c r="I85" s="4" t="str">
        <f t="shared" si="1"/>
        <v>09:00 - 12:00</v>
      </c>
      <c r="J85" s="4" t="s">
        <v>39</v>
      </c>
      <c r="K85" s="25" t="str">
        <f ca="1">IFERROR(__xludf.DUMMYFUNCTION("IF($E85="""", """", IF(OR(IFERROR(REGEXMATCH(TEXT($F85, ""dd/mm/yyyy""), SUBSTITUTE($G$2, "", "", ""|"")), FALSE), $F85=$G$4, $F85=$H$4), ""Εξέταση σε σ/κ ή αργία"", """"))"),"")</f>
        <v/>
      </c>
      <c r="L85" s="25" t="str">
        <f ca="1">IFERROR(__xludf.DUMMYFUNCTION("IFERROR(IF(ISNUMBER(SEARCH(TEXTJOIN("", "", TRUE, FILTER($E$8:$E$204, $F$8:$F$204 = F85, $J$8:$J$204 = J85, $G$8:$G$204 &lt; H85, $H$8:$H$204 &gt; G85, ROW($E$8:$E$204) &lt;&gt; ROW(E85))), #REF!)), """", TEXTJOIN("", "", TRUE, FILTER($E$8:$E$204, $F$8:$F$204 = F85, "&amp;"$J$8:$J$204 = J85, $G$8:$G$204 &lt; H85, $H$8:$H$204 &gt; G85, ROW($E$8:$E$204) &lt;&gt; ROW(E85)))), """")"),"Μαιευτική &amp; Αναπαραγωγή Ι, Μαιευτική &amp; Αναπαραγωγή ΙV, Πρακτική Άσκηση στη Μαιευτική &amp; Αναπαραγωγή των Κατοικιδίων Θηλαστικών Ι, Αναπαραγωγή Αρσενικού (ΠΠΣ)")</f>
        <v>Μαιευτική &amp; Αναπαραγωγή Ι, Μαιευτική &amp; Αναπαραγωγή ΙV, Πρακτική Άσκηση στη Μαιευτική &amp; Αναπαραγωγή των Κατοικιδίων Θηλαστικών Ι, Αναπαραγωγή Αρσενικού (ΠΠΣ)</v>
      </c>
      <c r="M85" s="23" t="s">
        <v>152</v>
      </c>
      <c r="N85" s="13"/>
    </row>
    <row r="86" spans="1:14" x14ac:dyDescent="0.25">
      <c r="A86" s="21" t="s">
        <v>5</v>
      </c>
      <c r="B86" s="21" t="s">
        <v>56</v>
      </c>
      <c r="C86" s="4" t="str">
        <f t="shared" si="0"/>
        <v>4ο Έτος</v>
      </c>
      <c r="D86" s="22" t="s">
        <v>115</v>
      </c>
      <c r="E86" s="23" t="s">
        <v>153</v>
      </c>
      <c r="F86" s="14">
        <v>46282</v>
      </c>
      <c r="G86" s="24">
        <v>0.58333333333333337</v>
      </c>
      <c r="H86" s="24">
        <v>0.70833333333333337</v>
      </c>
      <c r="I86" s="4" t="str">
        <f t="shared" si="1"/>
        <v>14:00 - 17:00</v>
      </c>
      <c r="J86" s="4" t="s">
        <v>30</v>
      </c>
      <c r="K86" s="25" t="str">
        <f ca="1">IFERROR(__xludf.DUMMYFUNCTION("IF($E86="""", """", IF(OR(IFERROR(REGEXMATCH(TEXT($F86, ""dd/mm/yyyy""), SUBSTITUTE($G$2, "", "", ""|"")), FALSE), $F86=$G$4, $F86=$H$4), ""Εξέταση σε σ/κ ή αργία"", """"))"),"")</f>
        <v/>
      </c>
      <c r="L86" s="25" t="str">
        <f ca="1">IFERROR(__xludf.DUMMYFUNCTION("IFERROR(IF(ISNUMBER(SEARCH(TEXTJOIN("", "", TRUE, FILTER($E$8:$E$204, $F$8:$F$204 = F86, $J$8:$J$204 = J86, $G$8:$G$204 &lt; H86, $H$8:$H$204 &gt; G86, ROW($E$8:$E$204) &lt;&gt; ROW(E86))), #REF!)), """", TEXTJOIN("", "", TRUE, FILTER($E$8:$E$204, $F$8:$F$204 = F86, "&amp;"$J$8:$J$204 = J86, $G$8:$G$204 &lt; H86, $H$8:$H$204 &gt; G86, ROW($E$8:$E$204) &lt;&gt; ROW(E86)))), """")"),"Ακτινολογία")</f>
        <v>Ακτινολογία</v>
      </c>
      <c r="M86" s="23" t="s">
        <v>154</v>
      </c>
      <c r="N86" s="13"/>
    </row>
    <row r="87" spans="1:14" ht="60" x14ac:dyDescent="0.25">
      <c r="A87" s="21" t="s">
        <v>5</v>
      </c>
      <c r="B87" s="21" t="s">
        <v>56</v>
      </c>
      <c r="C87" s="4" t="str">
        <f t="shared" si="0"/>
        <v>4ο Έτος</v>
      </c>
      <c r="D87" s="22" t="s">
        <v>83</v>
      </c>
      <c r="E87" s="23" t="s">
        <v>155</v>
      </c>
      <c r="F87" s="14">
        <v>46272</v>
      </c>
      <c r="G87" s="24">
        <v>0.5</v>
      </c>
      <c r="H87" s="24">
        <v>0.625</v>
      </c>
      <c r="I87" s="4" t="str">
        <f t="shared" si="1"/>
        <v>12:00 - 15:00</v>
      </c>
      <c r="J87" s="4" t="s">
        <v>30</v>
      </c>
      <c r="K87" s="25" t="str">
        <f ca="1">IFERROR(__xludf.DUMMYFUNCTION("IF($E87="""", """", IF(OR(IFERROR(REGEXMATCH(TEXT($F87, ""dd/mm/yyyy""), SUBSTITUTE($G$2, "", "", ""|"")), FALSE), $F87=$G$4, $F87=$H$4), ""Εξέταση σε σ/κ ή αργία"", """"))"),"")</f>
        <v/>
      </c>
      <c r="L87" s="25" t="str">
        <f ca="1">IFERROR(__xludf.DUMMYFUNCTION("IFERROR(IF(ISNUMBER(SEARCH(TEXTJOIN("", "", TRUE, FILTER($E$8:$E$204, $F$8:$F$204 = F87, $J$8:$J$204 = J87, $G$8:$G$204 &lt; H87, $H$8:$H$204 &gt; G87, ROW($E$8:$E$204) &lt;&gt; ROW(E87))), #REF!)), """", TEXTJOIN("", "", TRUE, FILTER($E$8:$E$204, $F$8:$F$204 = F87, "&amp;"$J$8:$J$204 = J87, $G$8:$G$204 &lt; H87, $H$8:$H$204 &gt; G87, ROW($E$8:$E$204) &lt;&gt; ROW(E87)))), """")"),"Διαγνωστική Παθολογική Αντομική Ι (ΔΠΑ Ι - ζώα αναψυχής) (ΠΠΣ)")</f>
        <v>Διαγνωστική Παθολογική Αντομική Ι (ΔΠΑ Ι - ζώα αναψυχής) (ΠΠΣ)</v>
      </c>
      <c r="M87" s="23" t="s">
        <v>156</v>
      </c>
      <c r="N87" s="13"/>
    </row>
    <row r="88" spans="1:14" ht="30" x14ac:dyDescent="0.25">
      <c r="A88" s="21" t="s">
        <v>5</v>
      </c>
      <c r="B88" s="21" t="s">
        <v>56</v>
      </c>
      <c r="C88" s="4" t="str">
        <f t="shared" si="0"/>
        <v>4ο Έτος</v>
      </c>
      <c r="D88" s="22" t="s">
        <v>100</v>
      </c>
      <c r="E88" s="23" t="s">
        <v>157</v>
      </c>
      <c r="F88" s="14">
        <v>46269</v>
      </c>
      <c r="G88" s="24">
        <v>0.5</v>
      </c>
      <c r="H88" s="24">
        <v>0.625</v>
      </c>
      <c r="I88" s="4" t="str">
        <f t="shared" si="1"/>
        <v>12:00 - 15:00</v>
      </c>
      <c r="J88" s="4" t="s">
        <v>39</v>
      </c>
      <c r="K88" s="25" t="str">
        <f ca="1">IFERROR(__xludf.DUMMYFUNCTION("IF($E88="""", """", IF(OR(IFERROR(REGEXMATCH(TEXT($F88, ""dd/mm/yyyy""), SUBSTITUTE($G$2, "", "", ""|"")), FALSE), $F88=$G$4, $F88=$H$4), ""Εξέταση σε σ/κ ή αργία"", """"))"),"")</f>
        <v/>
      </c>
      <c r="L88" s="25" t="str">
        <f ca="1">IFERROR(__xludf.DUMMYFUNCTION("IFERROR(IF(ISNUMBER(SEARCH(TEXTJOIN("", "", TRUE, FILTER($E$8:$E$204, $F$8:$F$204 = F88, $J$8:$J$204 = J88, $G$8:$G$204 &lt; H88, $H$8:$H$204 &gt; G88, ROW($E$8:$E$204) &lt;&gt; ROW(E88))), #REF!)), """", TEXTJOIN("", "", TRUE, FILTER($E$8:$E$204, $F$8:$F$204 = F88, "&amp;"$J$8:$J$204 = J88, $G$8:$G$204 &lt; H88, $H$8:$H$204 &gt; G88, ROW($E$8:$E$204) &lt;&gt; ROW(E88)))), """")"),"")</f>
        <v/>
      </c>
      <c r="M88" s="23"/>
      <c r="N88" s="13"/>
    </row>
    <row r="89" spans="1:14" ht="225" x14ac:dyDescent="0.25">
      <c r="A89" s="21" t="s">
        <v>5</v>
      </c>
      <c r="B89" s="21" t="s">
        <v>56</v>
      </c>
      <c r="C89" s="4" t="str">
        <f t="shared" si="0"/>
        <v>4ο Έτος</v>
      </c>
      <c r="D89" s="22" t="s">
        <v>107</v>
      </c>
      <c r="E89" s="23" t="s">
        <v>158</v>
      </c>
      <c r="F89" s="14">
        <v>46281</v>
      </c>
      <c r="G89" s="24">
        <v>0.375</v>
      </c>
      <c r="H89" s="24">
        <v>0.5</v>
      </c>
      <c r="I89" s="4" t="str">
        <f t="shared" si="1"/>
        <v>09:00 - 12:00</v>
      </c>
      <c r="J89" s="4" t="s">
        <v>39</v>
      </c>
      <c r="K89" s="25" t="str">
        <f ca="1">IFERROR(__xludf.DUMMYFUNCTION("IF($E89="""", """", IF(OR(IFERROR(REGEXMATCH(TEXT($F89, ""dd/mm/yyyy""), SUBSTITUTE($G$2, "", "", ""|"")), FALSE), $F89=$G$4, $F89=$H$4), ""Εξέταση σε σ/κ ή αργία"", """"))"),"")</f>
        <v/>
      </c>
      <c r="L89" s="25" t="str">
        <f ca="1">IFERROR(__xludf.DUMMYFUNCTION("IFERROR(IF(ISNUMBER(SEARCH(TEXTJOIN("", "", TRUE, FILTER($E$8:$E$204, $F$8:$F$204 = F89, $J$8:$J$204 = J89, $G$8:$G$204 &lt; H89, $H$8:$H$204 &gt; G89, ROW($E$8:$E$204) &lt;&gt; ROW(E89))), #REF!)), """", TEXTJOIN("", "", TRUE, FILTER($E$8:$E$204, $F$8:$F$204 = F89, "&amp;"$J$8:$J$204 = J89, $G$8:$G$204 &lt; H89, $H$8:$H$204 &gt; G89, ROW($E$8:$E$204) &lt;&gt; ROW(E89)))), """")"),"Μαιευτική &amp; Αναπαραγωγή Ι, Φυσιολογία &amp; Παθολογία Αναπαραγωγής Αρσενικών Θηλαστικών Ζώων &amp; Τεχνητή Σπερματέγχυση, Πρακτική Άσκηση στη Μαιευτική &amp; Αναπαραγωγή των Κατοικιδίων Θηλαστικών Ι, Αναπαραγωγή Αρσενικού (ΠΠΣ)")</f>
        <v>Μαιευτική &amp; Αναπαραγωγή Ι, Φυσιολογία &amp; Παθολογία Αναπαραγωγής Αρσενικών Θηλαστικών Ζώων &amp; Τεχνητή Σπερματέγχυση, Πρακτική Άσκηση στη Μαιευτική &amp; Αναπαραγωγή των Κατοικιδίων Θηλαστικών Ι, Αναπαραγωγή Αρσενικού (ΠΠΣ)</v>
      </c>
      <c r="M89" s="23"/>
      <c r="N89" s="13"/>
    </row>
    <row r="90" spans="1:14" ht="105" x14ac:dyDescent="0.25">
      <c r="A90" s="21" t="s">
        <v>5</v>
      </c>
      <c r="B90" s="21" t="s">
        <v>56</v>
      </c>
      <c r="C90" s="4" t="str">
        <f t="shared" si="0"/>
        <v>4ο Έτος</v>
      </c>
      <c r="D90" s="22" t="s">
        <v>92</v>
      </c>
      <c r="E90" s="23" t="s">
        <v>159</v>
      </c>
      <c r="F90" s="14">
        <v>46276</v>
      </c>
      <c r="G90" s="24">
        <v>0.75</v>
      </c>
      <c r="H90" s="24">
        <v>0.83333333333333337</v>
      </c>
      <c r="I90" s="4" t="str">
        <f t="shared" si="1"/>
        <v>18:00 - 20:00</v>
      </c>
      <c r="J90" s="4" t="s">
        <v>30</v>
      </c>
      <c r="K90" s="25" t="str">
        <f ca="1">IFERROR(__xludf.DUMMYFUNCTION("IF($E90="""", """", IF(OR(IFERROR(REGEXMATCH(TEXT($F90, ""dd/mm/yyyy""), SUBSTITUTE($G$2, "", "", ""|"")), FALSE), $F90=$G$4, $F90=$H$4), ""Εξέταση σε σ/κ ή αργία"", """"))"),"")</f>
        <v/>
      </c>
      <c r="L90" s="25" t="str">
        <f ca="1">IFERROR(__xludf.DUMMYFUNCTION("IFERROR(IF(ISNUMBER(SEARCH(TEXTJOIN("", "", TRUE, FILTER($E$8:$E$204, $F$8:$F$204 = F90, $J$8:$J$204 = J90, $G$8:$G$204 &lt; H90, $H$8:$H$204 &gt; G90, ROW($E$8:$E$204) &lt;&gt; ROW(E90))), #REF!)), """", TEXTJOIN("", "", TRUE, FILTER($E$8:$E$204, $F$8:$F$204 = F90, "&amp;"$J$8:$J$204 = J90, $G$8:$G$204 &lt; H90, $H$8:$H$204 &gt; G90, ROW($E$8:$E$204) &lt;&gt; ROW(E90)))), """")"),"Εξειδικευμένα Μαθήματα Δερματολογίας Ζώων Συντροφιάς, Ειδική Παθολογία ΖΣ ΙV (ΠΠΣ), Ειδικη Παθολογία ΖΣ V (ΠΠΣ) (Γραπτά)")</f>
        <v>Εξειδικευμένα Μαθήματα Δερματολογίας Ζώων Συντροφιάς, Ειδική Παθολογία ΖΣ ΙV (ΠΠΣ), Ειδικη Παθολογία ΖΣ V (ΠΠΣ) (Γραπτά)</v>
      </c>
      <c r="M90" s="23" t="s">
        <v>160</v>
      </c>
      <c r="N90" s="13"/>
    </row>
    <row r="91" spans="1:14" ht="90" x14ac:dyDescent="0.25">
      <c r="A91" s="21" t="s">
        <v>5</v>
      </c>
      <c r="B91" s="21" t="s">
        <v>56</v>
      </c>
      <c r="C91" s="4" t="str">
        <f t="shared" si="0"/>
        <v>4ο Έτος</v>
      </c>
      <c r="D91" s="22" t="s">
        <v>92</v>
      </c>
      <c r="E91" s="23" t="s">
        <v>161</v>
      </c>
      <c r="F91" s="14">
        <v>46279</v>
      </c>
      <c r="G91" s="24">
        <v>0.66666666666666663</v>
      </c>
      <c r="H91" s="24">
        <v>0.75</v>
      </c>
      <c r="I91" s="4" t="str">
        <f t="shared" si="1"/>
        <v>16:00 - 18:00</v>
      </c>
      <c r="J91" s="4" t="s">
        <v>39</v>
      </c>
      <c r="K91" s="25" t="str">
        <f ca="1">IFERROR(__xludf.DUMMYFUNCTION("IF($E91="""", """", IF(OR(IFERROR(REGEXMATCH(TEXT($F91, ""dd/mm/yyyy""), SUBSTITUTE($G$2, "", "", ""|"")), FALSE), $F91=$G$4, $F91=$H$4), ""Εξέταση σε σ/κ ή αργία"", """"))"),"")</f>
        <v/>
      </c>
      <c r="L91" s="25" t="str">
        <f ca="1">IFERROR(__xludf.DUMMYFUNCTION("IFERROR(IF(ISNUMBER(SEARCH(TEXTJOIN("", "", TRUE, FILTER($E$8:$E$204, $F$8:$F$204 = F91, $J$8:$J$204 = J91, $G$8:$G$204 &lt; H91, $H$8:$H$204 &gt; G91, ROW($E$8:$E$204) &lt;&gt; ROW(E91))), #REF!)), """", TEXTJOIN("", "", TRUE, FILTER($E$8:$E$204, $F$8:$F$204 = F91, "&amp;"$J$8:$J$204 = J91, $G$8:$G$204 &lt; H91, $H$8:$H$204 &gt; G91, ROW($E$8:$E$204) &lt;&gt; ROW(E91)))), """")"),"Παθολογία Παραγωγικών Ζώων ΙΙΙ, Εξειδικευμένα Μαθήματα Αναπαραγωγής Ζώων Συντροφιάς")</f>
        <v>Παθολογία Παραγωγικών Ζώων ΙΙΙ, Εξειδικευμένα Μαθήματα Αναπαραγωγής Ζώων Συντροφιάς</v>
      </c>
      <c r="M91" s="23"/>
      <c r="N91" s="13"/>
    </row>
    <row r="92" spans="1:14" ht="75" x14ac:dyDescent="0.25">
      <c r="A92" s="21" t="s">
        <v>5</v>
      </c>
      <c r="B92" s="21" t="s">
        <v>56</v>
      </c>
      <c r="C92" s="4" t="str">
        <f t="shared" si="0"/>
        <v>4ο Έτος</v>
      </c>
      <c r="D92" s="22" t="s">
        <v>147</v>
      </c>
      <c r="E92" s="23" t="s">
        <v>149</v>
      </c>
      <c r="F92" s="14">
        <v>46283</v>
      </c>
      <c r="G92" s="24">
        <v>0.625</v>
      </c>
      <c r="H92" s="24">
        <v>0.70833333333333337</v>
      </c>
      <c r="I92" s="4" t="str">
        <f t="shared" si="1"/>
        <v>15:00 - 17:00</v>
      </c>
      <c r="J92" s="4" t="s">
        <v>30</v>
      </c>
      <c r="K92" s="25" t="str">
        <f ca="1">IFERROR(__xludf.DUMMYFUNCTION("IF($E92="""", """", IF(OR(IFERROR(REGEXMATCH(TEXT($F92, ""dd/mm/yyyy""), SUBSTITUTE($G$2, "", "", ""|"")), FALSE), $F92=$G$4, $F92=$H$4), ""Εξέταση σε σ/κ ή αργία"", """"))"),"")</f>
        <v/>
      </c>
      <c r="L92" s="25" t="str">
        <f ca="1">IFERROR(__xludf.DUMMYFUNCTION("IFERROR(IF(ISNUMBER(SEARCH(TEXTJOIN("", "", TRUE, FILTER($E$8:$E$204, $F$8:$F$204 = F92, $J$8:$J$204 = J92, $G$8:$G$204 &lt; H92, $H$8:$H$204 &gt; G92, ROW($E$8:$E$204) &lt;&gt; ROW(E92))), #REF!)), """", TEXTJOIN("", "", TRUE, FILTER($E$8:$E$204, $F$8:$F$204 = F92, "&amp;"$J$8:$J$204 = J92, $G$8:$G$204 &lt; H92, $H$8:$H$204 &gt; G92, ROW($E$8:$E$204) &lt;&gt; ROW(E92)))), """")"),"Παθολογία Πτηνών Ι, Πρακτική Άσκηση στην Παθολογία Πτηνών Ι, Πρακτική Άσκηση στην Παθολογία Πτηνών ΙΙ")</f>
        <v>Παθολογία Πτηνών Ι, Πρακτική Άσκηση στην Παθολογία Πτηνών Ι, Πρακτική Άσκηση στην Παθολογία Πτηνών ΙΙ</v>
      </c>
      <c r="M92" s="23" t="s">
        <v>149</v>
      </c>
      <c r="N92" s="13"/>
    </row>
    <row r="93" spans="1:14" ht="30" x14ac:dyDescent="0.25">
      <c r="A93" s="21" t="s">
        <v>5</v>
      </c>
      <c r="B93" s="21" t="s">
        <v>56</v>
      </c>
      <c r="C93" s="4" t="str">
        <f t="shared" si="0"/>
        <v>4ο Έτος</v>
      </c>
      <c r="D93" s="22" t="s">
        <v>87</v>
      </c>
      <c r="E93" s="23" t="s">
        <v>162</v>
      </c>
      <c r="F93" s="14">
        <v>46280</v>
      </c>
      <c r="G93" s="24">
        <v>0.5</v>
      </c>
      <c r="H93" s="24">
        <v>0.58333333333333337</v>
      </c>
      <c r="I93" s="4" t="str">
        <f t="shared" si="1"/>
        <v>12:00 - 14:00</v>
      </c>
      <c r="J93" s="4" t="s">
        <v>39</v>
      </c>
      <c r="K93" s="25" t="str">
        <f ca="1">IFERROR(__xludf.DUMMYFUNCTION("IF($E93="""", """", IF(OR(IFERROR(REGEXMATCH(TEXT($F93, ""dd/mm/yyyy""), SUBSTITUTE($G$2, "", "", ""|"")), FALSE), $F93=$G$4, $F93=$H$4), ""Εξέταση σε σ/κ ή αργία"", """"))"),"")</f>
        <v/>
      </c>
      <c r="L93" s="25" t="str">
        <f ca="1">IFERROR(__xludf.DUMMYFUNCTION("IFERROR(IF(ISNUMBER(SEARCH(TEXTJOIN("", "", TRUE, FILTER($E$8:$E$204, $F$8:$F$204 = F93, $J$8:$J$204 = J93, $G$8:$G$204 &lt; H93, $H$8:$H$204 &gt; G93, ROW($E$8:$E$204) &lt;&gt; ROW(E93))), #REF!)), """", TEXTJOIN("", "", TRUE, FILTER($E$8:$E$204, $F$8:$F$204 = F93, "&amp;"$J$8:$J$204 = J93, $G$8:$G$204 &lt; H93, $H$8:$H$204 &gt; G93, ROW($E$8:$E$204) &lt;&gt; ROW(E93)))), """")"),"")</f>
        <v/>
      </c>
      <c r="M93" s="23"/>
      <c r="N93" s="13"/>
    </row>
    <row r="94" spans="1:14" ht="30" x14ac:dyDescent="0.25">
      <c r="A94" s="21" t="s">
        <v>5</v>
      </c>
      <c r="B94" s="21" t="s">
        <v>56</v>
      </c>
      <c r="C94" s="4" t="str">
        <f t="shared" si="0"/>
        <v>4ο Έτος</v>
      </c>
      <c r="D94" s="22" t="s">
        <v>115</v>
      </c>
      <c r="E94" s="23" t="s">
        <v>163</v>
      </c>
      <c r="F94" s="14">
        <v>46266</v>
      </c>
      <c r="G94" s="24">
        <v>0.5</v>
      </c>
      <c r="H94" s="24">
        <v>0.625</v>
      </c>
      <c r="I94" s="4" t="str">
        <f t="shared" si="1"/>
        <v>12:00 - 15:00</v>
      </c>
      <c r="J94" s="4" t="s">
        <v>39</v>
      </c>
      <c r="K94" s="25" t="str">
        <f ca="1">IFERROR(__xludf.DUMMYFUNCTION("IF($E94="""", """", IF(OR(IFERROR(REGEXMATCH(TEXT($F94, ""dd/mm/yyyy""), SUBSTITUTE($G$2, "", "", ""|"")), FALSE), $F94=$G$4, $F94=$H$4), ""Εξέταση σε σ/κ ή αργία"", """"))"),"")</f>
        <v/>
      </c>
      <c r="L94" s="25" t="str">
        <f ca="1">IFERROR(__xludf.DUMMYFUNCTION("IFERROR(IF(ISNUMBER(SEARCH(TEXTJOIN("", "", TRUE, FILTER($E$8:$E$204, $F$8:$F$204 = F94, $J$8:$J$204 = J94, $G$8:$G$204 &lt; H94, $H$8:$H$204 &gt; G94, ROW($E$8:$E$204) &lt;&gt; ROW(E94))), #REF!)), """", TEXTJOIN("", "", TRUE, FILTER($E$8:$E$204, $F$8:$F$204 = F94, "&amp;"$J$8:$J$204 = J94, $G$8:$G$204 &lt; H94, $H$8:$H$204 &gt; G94, ROW($E$8:$E$204) &lt;&gt; ROW(E94)))), """")"),"Χειρουργική ΙΙΙ (γραπτά)")</f>
        <v>Χειρουργική ΙΙΙ (γραπτά)</v>
      </c>
      <c r="M94" s="23" t="s">
        <v>164</v>
      </c>
      <c r="N94" s="13"/>
    </row>
    <row r="95" spans="1:14" ht="60" x14ac:dyDescent="0.25">
      <c r="A95" s="21" t="s">
        <v>6</v>
      </c>
      <c r="B95" s="21" t="s">
        <v>28</v>
      </c>
      <c r="C95" s="4" t="str">
        <f t="shared" si="0"/>
        <v>5ο Έτος</v>
      </c>
      <c r="D95" s="22" t="s">
        <v>115</v>
      </c>
      <c r="E95" s="23" t="s">
        <v>165</v>
      </c>
      <c r="F95" s="14">
        <v>46276</v>
      </c>
      <c r="G95" s="24">
        <v>0.375</v>
      </c>
      <c r="H95" s="24">
        <v>0.45833333333333331</v>
      </c>
      <c r="I95" s="4" t="str">
        <f t="shared" si="1"/>
        <v>09:00 - 11:00</v>
      </c>
      <c r="J95" s="4" t="s">
        <v>30</v>
      </c>
      <c r="K95" s="25" t="str">
        <f ca="1">IFERROR(__xludf.DUMMYFUNCTION("IF($E95="""", """", IF(OR(IFERROR(REGEXMATCH(TEXT($F95, ""dd/mm/yyyy""), SUBSTITUTE($G$2, "", "", ""|"")), FALSE), $F95=$G$4, $F95=$H$4), ""Εξέταση σε σ/κ ή αργία"", """"))"),"")</f>
        <v/>
      </c>
      <c r="L95" s="25" t="str">
        <f ca="1">IFERROR(__xludf.DUMMYFUNCTION("IFERROR(IF(ISNUMBER(SEARCH(TEXTJOIN("", "", TRUE, FILTER($E$8:$E$204, $F$8:$F$204 = F95, $J$8:$J$204 = J95, $G$8:$G$204 &lt; H95, $H$8:$H$204 &gt; G95, ROW($E$8:$E$204) &lt;&gt; ROW(E95))), #REF!)), """", TEXTJOIN("", "", TRUE, FILTER($E$8:$E$204, $F$8:$F$204 = F95, "&amp;"$J$8:$J$204 = J95, $G$8:$G$204 &lt; H95, $H$8:$H$204 &gt; G95, ROW($E$8:$E$204) &lt;&gt; ROW(E95)))), """")"),"")</f>
        <v/>
      </c>
      <c r="M95" s="23"/>
      <c r="N95" s="13"/>
    </row>
    <row r="96" spans="1:14" ht="120" x14ac:dyDescent="0.25">
      <c r="A96" s="21" t="s">
        <v>6</v>
      </c>
      <c r="B96" s="21" t="s">
        <v>28</v>
      </c>
      <c r="C96" s="4" t="str">
        <f t="shared" si="0"/>
        <v>5ο Έτος</v>
      </c>
      <c r="D96" s="22" t="s">
        <v>115</v>
      </c>
      <c r="E96" s="23" t="s">
        <v>166</v>
      </c>
      <c r="F96" s="14">
        <v>46273</v>
      </c>
      <c r="G96" s="24">
        <v>0.375</v>
      </c>
      <c r="H96" s="24">
        <v>0.70833333333333337</v>
      </c>
      <c r="I96" s="4" t="str">
        <f t="shared" si="1"/>
        <v>09:00 - 17:00</v>
      </c>
      <c r="J96" s="4" t="s">
        <v>167</v>
      </c>
      <c r="K96" s="25" t="str">
        <f ca="1">IFERROR(__xludf.DUMMYFUNCTION("IF($E96="""", """", IF(OR(IFERROR(REGEXMATCH(TEXT($F96, ""dd/mm/yyyy""), SUBSTITUTE($G$2, "", "", ""|"")), FALSE), $F96=$G$4, $F96=$H$4), ""Εξέταση σε σ/κ ή αργία"", """"))"),"")</f>
        <v/>
      </c>
      <c r="L96" s="25" t="str">
        <f ca="1">IFERROR(__xludf.DUMMYFUNCTION("IFERROR(IF(ISNUMBER(SEARCH(TEXTJOIN("", "", TRUE, FILTER($E$8:$E$204, $F$8:$F$204 = F96, $J$8:$J$204 = J96, $G$8:$G$204 &lt; H96, $H$8:$H$204 &gt; G96, ROW($E$8:$E$204) &lt;&gt; ROW(E96))), #REF!)), """", TEXTJOIN("", "", TRUE, FILTER($E$8:$E$204, $F$8:$F$204 = F96, "&amp;"$J$8:$J$204 = J96, $G$8:$G$204 &lt; H96, $H$8:$H$204 &gt; G96, ROW($E$8:$E$204) &lt;&gt; ROW(E96)))), """")"),"Πρακτική Άσκηση στην Αναισθησιολογία, τη Χειρουργική &amp; την Απεικονιστική Διαγνωστική ΙΙ (Πρακτικά) (1η ημέρα), Χειρουργική ΙV (Πρακτικά) (1η ημέρα)")</f>
        <v>Πρακτική Άσκηση στην Αναισθησιολογία, τη Χειρουργική &amp; την Απεικονιστική Διαγνωστική ΙΙ (Πρακτικά) (1η ημέρα), Χειρουργική ΙV (Πρακτικά) (1η ημέρα)</v>
      </c>
      <c r="M96" s="23" t="s">
        <v>168</v>
      </c>
      <c r="N96" s="13"/>
    </row>
    <row r="97" spans="1:14" ht="120" x14ac:dyDescent="0.25">
      <c r="A97" s="21" t="s">
        <v>6</v>
      </c>
      <c r="B97" s="21" t="s">
        <v>28</v>
      </c>
      <c r="C97" s="4" t="str">
        <f t="shared" si="0"/>
        <v>5ο Έτος</v>
      </c>
      <c r="D97" s="22" t="s">
        <v>115</v>
      </c>
      <c r="E97" s="23" t="s">
        <v>169</v>
      </c>
      <c r="F97" s="14">
        <v>46274</v>
      </c>
      <c r="G97" s="24">
        <v>0.375</v>
      </c>
      <c r="H97" s="24">
        <v>0.70833333333333337</v>
      </c>
      <c r="I97" s="4" t="str">
        <f t="shared" si="1"/>
        <v>09:00 - 17:00</v>
      </c>
      <c r="J97" s="4" t="s">
        <v>167</v>
      </c>
      <c r="K97" s="25" t="str">
        <f ca="1">IFERROR(__xludf.DUMMYFUNCTION("IF($E97="""", """", IF(OR(IFERROR(REGEXMATCH(TEXT($F97, ""dd/mm/yyyy""), SUBSTITUTE($G$2, "", "", ""|"")), FALSE), $F97=$G$4, $F97=$H$4), ""Εξέταση σε σ/κ ή αργία"", """"))"),"")</f>
        <v/>
      </c>
      <c r="L97" s="25" t="str">
        <f ca="1">IFERROR(__xludf.DUMMYFUNCTION("IFERROR(IF(ISNUMBER(SEARCH(TEXTJOIN("", "", TRUE, FILTER($E$8:$E$204, $F$8:$F$204 = F97, $J$8:$J$204 = J97, $G$8:$G$204 &lt; H97, $H$8:$H$204 &gt; G97, ROW($E$8:$E$204) &lt;&gt; ROW(E97))), #REF!)), """", TEXTJOIN("", "", TRUE, FILTER($E$8:$E$204, $F$8:$F$204 = F97, "&amp;"$J$8:$J$204 = J97, $G$8:$G$204 &lt; H97, $H$8:$H$204 &gt; G97, ROW($E$8:$E$204) &lt;&gt; ROW(E97)))), """")"),"Πρακτική Άσκηση στην Αναισθησιολογία, τη Χειρουργική &amp; την Απεικονιστική Διαγνωστική ΙΙ (Πρακτικά) (2η ημέρα), Χειρουργική ΙV (Πρακτικά) (2η ημέρα)")</f>
        <v>Πρακτική Άσκηση στην Αναισθησιολογία, τη Χειρουργική &amp; την Απεικονιστική Διαγνωστική ΙΙ (Πρακτικά) (2η ημέρα), Χειρουργική ΙV (Πρακτικά) (2η ημέρα)</v>
      </c>
      <c r="M97" s="23" t="s">
        <v>170</v>
      </c>
      <c r="N97" s="13"/>
    </row>
    <row r="98" spans="1:14" ht="120" x14ac:dyDescent="0.25">
      <c r="A98" s="21" t="s">
        <v>6</v>
      </c>
      <c r="B98" s="21" t="s">
        <v>28</v>
      </c>
      <c r="C98" s="4" t="str">
        <f t="shared" si="0"/>
        <v>5ο Έτος</v>
      </c>
      <c r="D98" s="22" t="s">
        <v>115</v>
      </c>
      <c r="E98" s="23" t="s">
        <v>171</v>
      </c>
      <c r="F98" s="14">
        <v>46275</v>
      </c>
      <c r="G98" s="24">
        <v>0.45833333333333331</v>
      </c>
      <c r="H98" s="24">
        <v>0.70833333333333337</v>
      </c>
      <c r="I98" s="4" t="str">
        <f t="shared" si="1"/>
        <v>11:00 - 17:00</v>
      </c>
      <c r="J98" s="4" t="s">
        <v>167</v>
      </c>
      <c r="K98" s="25" t="str">
        <f ca="1">IFERROR(__xludf.DUMMYFUNCTION("IF($E98="""", """", IF(OR(IFERROR(REGEXMATCH(TEXT($F98, ""dd/mm/yyyy""), SUBSTITUTE($G$2, "", "", ""|"")), FALSE), $F98=$G$4, $F98=$H$4), ""Εξέταση σε σ/κ ή αργία"", """"))"),"")</f>
        <v/>
      </c>
      <c r="L98" s="25" t="str">
        <f ca="1">IFERROR(__xludf.DUMMYFUNCTION("IFERROR(IF(ISNUMBER(SEARCH(TEXTJOIN("", "", TRUE, FILTER($E$8:$E$204, $F$8:$F$204 = F98, $J$8:$J$204 = J98, $G$8:$G$204 &lt; H98, $H$8:$H$204 &gt; G98, ROW($E$8:$E$204) &lt;&gt; ROW(E98))), #REF!)), """", TEXTJOIN("", "", TRUE, FILTER($E$8:$E$204, $F$8:$F$204 = F98, "&amp;"$J$8:$J$204 = J98, $G$8:$G$204 &lt; H98, $H$8:$H$204 &gt; G98, ROW($E$8:$E$204) &lt;&gt; ROW(E98)))), """")"),"Πρακτική Άσκηση στην Αναισθησιολογία, τη Χειρουργική &amp; την Απεικονιστική Διαγνωστική ΙΙ (Πρακτικά) (3η ημέρα), Χειρουργική ΙV (Πρακτικά) (3η ημέρα)")</f>
        <v>Πρακτική Άσκηση στην Αναισθησιολογία, τη Χειρουργική &amp; την Απεικονιστική Διαγνωστική ΙΙ (Πρακτικά) (3η ημέρα), Χειρουργική ΙV (Πρακτικά) (3η ημέρα)</v>
      </c>
      <c r="M98" s="23" t="s">
        <v>172</v>
      </c>
      <c r="N98" s="13"/>
    </row>
    <row r="99" spans="1:14" ht="60" x14ac:dyDescent="0.25">
      <c r="A99" s="21" t="s">
        <v>6</v>
      </c>
      <c r="B99" s="21" t="s">
        <v>28</v>
      </c>
      <c r="C99" s="4" t="str">
        <f t="shared" si="0"/>
        <v>5ο Έτος</v>
      </c>
      <c r="D99" s="22" t="s">
        <v>83</v>
      </c>
      <c r="E99" s="23" t="s">
        <v>173</v>
      </c>
      <c r="F99" s="14">
        <v>46266</v>
      </c>
      <c r="G99" s="24">
        <v>0.45833333333333331</v>
      </c>
      <c r="H99" s="24">
        <v>0.58333333333333337</v>
      </c>
      <c r="I99" s="4" t="str">
        <f t="shared" si="1"/>
        <v>11:00 - 14:00</v>
      </c>
      <c r="J99" s="4" t="s">
        <v>85</v>
      </c>
      <c r="K99" s="25" t="str">
        <f ca="1">IFERROR(__xludf.DUMMYFUNCTION("IF($E99="""", """", IF(OR(IFERROR(REGEXMATCH(TEXT($F99, ""dd/mm/yyyy""), SUBSTITUTE($G$2, "", "", ""|"")), FALSE), $F99=$G$4, $F99=$H$4), ""Εξέταση σε σ/κ ή αργία"", """"))"),"")</f>
        <v/>
      </c>
      <c r="L99" s="25" t="str">
        <f ca="1">IFERROR(__xludf.DUMMYFUNCTION("IFERROR(IF(ISNUMBER(SEARCH(TEXTJOIN("", "", TRUE, FILTER($E$8:$E$204, $F$8:$F$204 = F99, $J$8:$J$204 = J99, $G$8:$G$204 &lt; H99, $H$8:$H$204 &gt; G99, ROW($E$8:$E$204) &lt;&gt; ROW(E99))), #REF!)), """", TEXTJOIN("", "", TRUE, FILTER($E$8:$E$204, $F$8:$F$204 = F99, "&amp;"$J$8:$J$204 = J99, $G$8:$G$204 &lt; H99, $H$8:$H$204 &gt; G99, ROW($E$8:$E$204) &lt;&gt; ROW(E99)))), """")"),"")</f>
        <v/>
      </c>
      <c r="M99" s="23"/>
      <c r="N99" s="13"/>
    </row>
    <row r="100" spans="1:14" ht="60" x14ac:dyDescent="0.25">
      <c r="A100" s="21" t="s">
        <v>6</v>
      </c>
      <c r="B100" s="21" t="s">
        <v>28</v>
      </c>
      <c r="C100" s="4" t="str">
        <f t="shared" si="0"/>
        <v>5ο Έτος</v>
      </c>
      <c r="D100" s="22" t="s">
        <v>83</v>
      </c>
      <c r="E100" s="23" t="s">
        <v>174</v>
      </c>
      <c r="F100" s="14">
        <v>46266</v>
      </c>
      <c r="G100" s="24">
        <v>0.58333333333333337</v>
      </c>
      <c r="H100" s="24">
        <v>0.79166666666666663</v>
      </c>
      <c r="I100" s="4" t="str">
        <f t="shared" si="1"/>
        <v>14:00 - 19:00</v>
      </c>
      <c r="J100" s="4" t="s">
        <v>121</v>
      </c>
      <c r="K100" s="25" t="str">
        <f ca="1">IFERROR(__xludf.DUMMYFUNCTION("IF($E100="""", """", IF(OR(IFERROR(REGEXMATCH(TEXT($F100, ""dd/mm/yyyy""), SUBSTITUTE($G$2, "", "", ""|"")), FALSE), $F100=$G$4, $F100=$H$4), ""Εξέταση σε σ/κ ή αργία"", """"))"),"")</f>
        <v/>
      </c>
      <c r="L100" s="25" t="str">
        <f ca="1">IFERROR(__xludf.DUMMYFUNCTION("IFERROR(IF(ISNUMBER(SEARCH(TEXTJOIN("", "", TRUE, FILTER($E$8:$E$204, $F$8:$F$204 = F100, $J$8:$J$204 = J100, $G$8:$G$204 &lt; H100, $H$8:$H$204 &gt; G100, ROW($E$8:$E$204) &lt;&gt; ROW(E100))), #REF!)), """", TEXTJOIN("", "", TRUE, FILTER($E$8:$E$204, $F$8:$F$204 = "&amp;"F100, $J$8:$J$204 = J100, $G$8:$G$204 &lt; H100, $H$8:$H$204 &gt; G100, ROW($E$8:$E$204) &lt;&gt; ROW(E100)))), """")"),"")</f>
        <v/>
      </c>
      <c r="M100" s="23"/>
      <c r="N100" s="13"/>
    </row>
    <row r="101" spans="1:14" ht="180" x14ac:dyDescent="0.25">
      <c r="A101" s="21" t="s">
        <v>6</v>
      </c>
      <c r="B101" s="21" t="s">
        <v>28</v>
      </c>
      <c r="C101" s="4" t="str">
        <f t="shared" si="0"/>
        <v>5ο Έτος</v>
      </c>
      <c r="D101" s="22" t="s">
        <v>107</v>
      </c>
      <c r="E101" s="23" t="s">
        <v>175</v>
      </c>
      <c r="F101" s="14">
        <v>46281</v>
      </c>
      <c r="G101" s="24">
        <v>0.375</v>
      </c>
      <c r="H101" s="24">
        <v>0.5</v>
      </c>
      <c r="I101" s="4" t="str">
        <f t="shared" si="1"/>
        <v>09:00 - 12:00</v>
      </c>
      <c r="J101" s="4" t="s">
        <v>39</v>
      </c>
      <c r="K101" s="25" t="str">
        <f ca="1">IFERROR(__xludf.DUMMYFUNCTION("IF($E101="""", """", IF(OR(IFERROR(REGEXMATCH(TEXT($F101, ""dd/mm/yyyy""), SUBSTITUTE($G$2, "", "", ""|"")), FALSE), $F101=$G$4, $F101=$H$4), ""Εξέταση σε σ/κ ή αργία"", """"))"),"")</f>
        <v/>
      </c>
      <c r="L101" s="25" t="str">
        <f ca="1">IFERROR(__xludf.DUMMYFUNCTION("IFERROR(IF(ISNUMBER(SEARCH(TEXTJOIN("", "", TRUE, FILTER($E$8:$E$204, $F$8:$F$204 = F101, $J$8:$J$204 = J101, $G$8:$G$204 &lt; H101, $H$8:$H$204 &gt; G101, ROW($E$8:$E$204) &lt;&gt; ROW(E101))), #REF!)), """", TEXTJOIN("", "", TRUE, FILTER($E$8:$E$204, $F$8:$F$204 = "&amp;"F101, $J$8:$J$204 = J101, $G$8:$G$204 &lt; H101, $H$8:$H$204 &gt; G101, ROW($E$8:$E$204) &lt;&gt; ROW(E101)))), """")"),"Μαιευτική &amp; Αναπαραγωγή Ι, Φυσιολογία &amp; Παθολογία Αναπαραγωγής Αρσενικών Θηλαστικών Ζώων &amp; Τεχνητή Σπερματέγχυση, Μαιευτική &amp; Αναπαραγωγή ΙV, Αναπαραγωγή Αρσενικού (ΠΠΣ)")</f>
        <v>Μαιευτική &amp; Αναπαραγωγή Ι, Φυσιολογία &amp; Παθολογία Αναπαραγωγής Αρσενικών Θηλαστικών Ζώων &amp; Τεχνητή Σπερματέγχυση, Μαιευτική &amp; Αναπαραγωγή ΙV, Αναπαραγωγή Αρσενικού (ΠΠΣ)</v>
      </c>
      <c r="M101" s="25"/>
      <c r="N101" s="13"/>
    </row>
    <row r="102" spans="1:14" ht="90" x14ac:dyDescent="0.25">
      <c r="A102" s="21" t="s">
        <v>6</v>
      </c>
      <c r="B102" s="21" t="s">
        <v>28</v>
      </c>
      <c r="C102" s="4" t="str">
        <f t="shared" si="0"/>
        <v>5ο Έτος</v>
      </c>
      <c r="D102" s="22" t="s">
        <v>92</v>
      </c>
      <c r="E102" s="23" t="s">
        <v>176</v>
      </c>
      <c r="F102" s="14">
        <v>46267</v>
      </c>
      <c r="G102" s="24">
        <v>0.375</v>
      </c>
      <c r="H102" s="24">
        <v>0.625</v>
      </c>
      <c r="I102" s="4" t="str">
        <f t="shared" si="1"/>
        <v>09:00 - 15:00</v>
      </c>
      <c r="J102" s="4" t="s">
        <v>177</v>
      </c>
      <c r="K102" s="25" t="str">
        <f ca="1">IFERROR(__xludf.DUMMYFUNCTION("IF($E102="""", """", IF(OR(IFERROR(REGEXMATCH(TEXT($F102, ""dd/mm/yyyy""), SUBSTITUTE($G$2, "", "", ""|"")), FALSE), $F102=$G$4, $F102=$H$4), ""Εξέταση σε σ/κ ή αργία"", """"))"),"")</f>
        <v/>
      </c>
      <c r="L102" s="25" t="str">
        <f ca="1">IFERROR(__xludf.DUMMYFUNCTION("IFERROR(IF(ISNUMBER(SEARCH(TEXTJOIN("", "", TRUE, FILTER($E$8:$E$204, $F$8:$F$204 = F102, $J$8:$J$204 = J102, $G$8:$G$204 &lt; H102, $H$8:$H$204 &gt; G102, ROW($E$8:$E$204) &lt;&gt; ROW(E102))), #REF!)), """", TEXTJOIN("", "", TRUE, FILTER($E$8:$E$204, $F$8:$F$204 = "&amp;"F102, $J$8:$J$204 = J102, $G$8:$G$204 &lt; H102, $H$8:$H$204 &gt; G102, ROW($E$8:$E$204) &lt;&gt; ROW(E102)))), """")"),"Πρακτική Άσκηση στην Παθολογία Ζώων Συντροφιάς ΙΙ (1η ημέρα), Ειδικη Παθολογία ΖΣ V (ΠΠΣ) (Πρακτικά) (1η ημέρα)")</f>
        <v>Πρακτική Άσκηση στην Παθολογία Ζώων Συντροφιάς ΙΙ (1η ημέρα), Ειδικη Παθολογία ΖΣ V (ΠΠΣ) (Πρακτικά) (1η ημέρα)</v>
      </c>
      <c r="M102" s="25" t="s">
        <v>178</v>
      </c>
      <c r="N102" s="13"/>
    </row>
    <row r="103" spans="1:14" ht="90" x14ac:dyDescent="0.25">
      <c r="A103" s="21" t="s">
        <v>6</v>
      </c>
      <c r="B103" s="21" t="s">
        <v>28</v>
      </c>
      <c r="C103" s="4" t="str">
        <f t="shared" si="0"/>
        <v>5ο Έτος</v>
      </c>
      <c r="D103" s="22" t="s">
        <v>92</v>
      </c>
      <c r="E103" s="23" t="s">
        <v>179</v>
      </c>
      <c r="F103" s="14">
        <v>46268</v>
      </c>
      <c r="G103" s="24">
        <v>0.375</v>
      </c>
      <c r="H103" s="24">
        <v>0.625</v>
      </c>
      <c r="I103" s="4" t="str">
        <f t="shared" si="1"/>
        <v>09:00 - 15:00</v>
      </c>
      <c r="J103" s="4" t="s">
        <v>177</v>
      </c>
      <c r="K103" s="25" t="str">
        <f ca="1">IFERROR(__xludf.DUMMYFUNCTION("IF($E103="""", """", IF(OR(IFERROR(REGEXMATCH(TEXT($F103, ""dd/mm/yyyy""), SUBSTITUTE($G$2, "", "", ""|"")), FALSE), $F103=$G$4, $F103=$H$4), ""Εξέταση σε σ/κ ή αργία"", """"))"),"")</f>
        <v/>
      </c>
      <c r="L103" s="25" t="str">
        <f ca="1">IFERROR(__xludf.DUMMYFUNCTION("IFERROR(IF(ISNUMBER(SEARCH(TEXTJOIN("", "", TRUE, FILTER($E$8:$E$204, $F$8:$F$204 = F103, $J$8:$J$204 = J103, $G$8:$G$204 &lt; H103, $H$8:$H$204 &gt; G103, ROW($E$8:$E$204) &lt;&gt; ROW(E103))), #REF!)), """", TEXTJOIN("", "", TRUE, FILTER($E$8:$E$204, $F$8:$F$204 = "&amp;"F103, $J$8:$J$204 = J103, $G$8:$G$204 &lt; H103, $H$8:$H$204 &gt; G103, ROW($E$8:$E$204) &lt;&gt; ROW(E103)))), """")"),"Πρακτική Άσκηση στην Παθολογία Ζώων Συντροφιάς ΙΙ (2η ημέρα), Ειδικη Παθολογία ΖΣ V (ΠΠΣ) (Πρακτικά) (2η ημέρα)")</f>
        <v>Πρακτική Άσκηση στην Παθολογία Ζώων Συντροφιάς ΙΙ (2η ημέρα), Ειδικη Παθολογία ΖΣ V (ΠΠΣ) (Πρακτικά) (2η ημέρα)</v>
      </c>
      <c r="M103" s="25" t="s">
        <v>180</v>
      </c>
      <c r="N103" s="13"/>
    </row>
    <row r="104" spans="1:14" ht="90" x14ac:dyDescent="0.25">
      <c r="A104" s="21" t="s">
        <v>6</v>
      </c>
      <c r="B104" s="21" t="s">
        <v>28</v>
      </c>
      <c r="C104" s="4" t="str">
        <f t="shared" si="0"/>
        <v>5ο Έτος</v>
      </c>
      <c r="D104" s="22" t="s">
        <v>92</v>
      </c>
      <c r="E104" s="23" t="s">
        <v>181</v>
      </c>
      <c r="F104" s="14">
        <v>46269</v>
      </c>
      <c r="G104" s="24">
        <v>0.375</v>
      </c>
      <c r="H104" s="24">
        <v>0.625</v>
      </c>
      <c r="I104" s="4" t="str">
        <f t="shared" si="1"/>
        <v>09:00 - 15:00</v>
      </c>
      <c r="J104" s="4" t="s">
        <v>177</v>
      </c>
      <c r="K104" s="25" t="str">
        <f ca="1">IFERROR(__xludf.DUMMYFUNCTION("IF($E104="""", """", IF(OR(IFERROR(REGEXMATCH(TEXT($F104, ""dd/mm/yyyy""), SUBSTITUTE($G$2, "", "", ""|"")), FALSE), $F104=$G$4, $F104=$H$4), ""Εξέταση σε σ/κ ή αργία"", """"))"),"")</f>
        <v/>
      </c>
      <c r="L104" s="25" t="str">
        <f ca="1">IFERROR(__xludf.DUMMYFUNCTION("IFERROR(IF(ISNUMBER(SEARCH(TEXTJOIN("", "", TRUE, FILTER($E$8:$E$204, $F$8:$F$204 = F104, $J$8:$J$204 = J104, $G$8:$G$204 &lt; H104, $H$8:$H$204 &gt; G104, ROW($E$8:$E$204) &lt;&gt; ROW(E104))), #REF!)), """", TEXTJOIN("", "", TRUE, FILTER($E$8:$E$204, $F$8:$F$204 = "&amp;"F104, $J$8:$J$204 = J104, $G$8:$G$204 &lt; H104, $H$8:$H$204 &gt; G104, ROW($E$8:$E$204) &lt;&gt; ROW(E104)))), """")"),"Πρακτική Άσκηση στην Παθολογία Ζώων Συντροφιάς ΙΙ (3η ημέρα), Ειδικη Παθολογία ΖΣ V (ΠΠΣ) (Πρακτικά) (3η ημέρα)")</f>
        <v>Πρακτική Άσκηση στην Παθολογία Ζώων Συντροφιάς ΙΙ (3η ημέρα), Ειδικη Παθολογία ΖΣ V (ΠΠΣ) (Πρακτικά) (3η ημέρα)</v>
      </c>
      <c r="M104" s="25" t="s">
        <v>182</v>
      </c>
      <c r="N104" s="13"/>
    </row>
    <row r="105" spans="1:14" ht="45" x14ac:dyDescent="0.25">
      <c r="A105" s="21" t="s">
        <v>6</v>
      </c>
      <c r="B105" s="21" t="s">
        <v>28</v>
      </c>
      <c r="C105" s="4" t="str">
        <f t="shared" si="0"/>
        <v>5ο Έτος</v>
      </c>
      <c r="D105" s="22" t="s">
        <v>92</v>
      </c>
      <c r="E105" s="23" t="s">
        <v>183</v>
      </c>
      <c r="F105" s="14">
        <v>46280</v>
      </c>
      <c r="G105" s="24">
        <v>0.375</v>
      </c>
      <c r="H105" s="24">
        <v>0.5</v>
      </c>
      <c r="I105" s="4" t="str">
        <f t="shared" si="1"/>
        <v>09:00 - 12:00</v>
      </c>
      <c r="J105" s="4" t="s">
        <v>30</v>
      </c>
      <c r="K105" s="25" t="str">
        <f ca="1">IFERROR(__xludf.DUMMYFUNCTION("IF($E105="""", """", IF(OR(IFERROR(REGEXMATCH(TEXT($F105, ""dd/mm/yyyy""), SUBSTITUTE($G$2, "", "", ""|"")), FALSE), $F105=$G$4, $F105=$H$4), ""Εξέταση σε σ/κ ή αργία"", """"))"),"")</f>
        <v/>
      </c>
      <c r="L105" s="25" t="str">
        <f ca="1">IFERROR(__xludf.DUMMYFUNCTION("IFERROR(IF(ISNUMBER(SEARCH(TEXTJOIN("", "", TRUE, FILTER($E$8:$E$204, $F$8:$F$204 = F105, $J$8:$J$204 = J105, $G$8:$G$204 &lt; H105, $H$8:$H$204 &gt; G105, ROW($E$8:$E$204) &lt;&gt; ROW(E105))), #REF!)), """", TEXTJOIN("", "", TRUE, FILTER($E$8:$E$204, $F$8:$F$204 = "&amp;"F105, $J$8:$J$204 = J105, $G$8:$G$204 &lt; H105, $H$8:$H$204 &gt; G105, ROW($E$8:$E$204) &lt;&gt; ROW(E105)))), """")"),"Παθολογία Παραγωγικών (ΠΠΣ) (Γραπτά)")</f>
        <v>Παθολογία Παραγωγικών (ΠΠΣ) (Γραπτά)</v>
      </c>
      <c r="M105" s="23" t="s">
        <v>184</v>
      </c>
      <c r="N105" s="13"/>
    </row>
    <row r="106" spans="1:14" ht="60" x14ac:dyDescent="0.25">
      <c r="A106" s="21" t="s">
        <v>6</v>
      </c>
      <c r="B106" s="21" t="s">
        <v>28</v>
      </c>
      <c r="C106" s="4" t="str">
        <f t="shared" si="0"/>
        <v>5ο Έτος</v>
      </c>
      <c r="D106" s="22" t="s">
        <v>147</v>
      </c>
      <c r="E106" s="23" t="s">
        <v>185</v>
      </c>
      <c r="F106" s="14">
        <v>46283</v>
      </c>
      <c r="G106" s="24">
        <v>0.625</v>
      </c>
      <c r="H106" s="24">
        <v>0.70833333333333337</v>
      </c>
      <c r="I106" s="4" t="str">
        <f t="shared" si="1"/>
        <v>15:00 - 17:00</v>
      </c>
      <c r="J106" s="4" t="s">
        <v>30</v>
      </c>
      <c r="K106" s="25" t="str">
        <f ca="1">IFERROR(__xludf.DUMMYFUNCTION("IF($E106="""", """", IF(OR(IFERROR(REGEXMATCH(TEXT($F106, ""dd/mm/yyyy""), SUBSTITUTE($G$2, "", "", ""|"")), FALSE), $F106=$G$4, $F106=$H$4), ""Εξέταση σε σ/κ ή αργία"", """"))"),"")</f>
        <v/>
      </c>
      <c r="L106" s="25" t="str">
        <f ca="1">IFERROR(__xludf.DUMMYFUNCTION("IFERROR(IF(ISNUMBER(SEARCH(TEXTJOIN("", "", TRUE, FILTER($E$8:$E$204, $F$8:$F$204 = F106, $J$8:$J$204 = J106, $G$8:$G$204 &lt; H106, $H$8:$H$204 &gt; G106, ROW($E$8:$E$204) &lt;&gt; ROW(E106))), #REF!)), """", TEXTJOIN("", "", TRUE, FILTER($E$8:$E$204, $F$8:$F$204 = "&amp;"F106, $J$8:$J$204 = J106, $G$8:$G$204 &lt; H106, $H$8:$H$204 &gt; G106, ROW($E$8:$E$204) &lt;&gt; ROW(E106)))), """")"),"Παθολογία Πτηνών Ι, Παθολογία Πτηνών ΙI, Πρακτική Άσκηση στην Παθολογία Πτηνών ΙΙ")</f>
        <v>Παθολογία Πτηνών Ι, Παθολογία Πτηνών ΙI, Πρακτική Άσκηση στην Παθολογία Πτηνών ΙΙ</v>
      </c>
      <c r="M106" s="23" t="s">
        <v>186</v>
      </c>
      <c r="N106" s="13"/>
    </row>
    <row r="107" spans="1:14" ht="45" x14ac:dyDescent="0.25">
      <c r="A107" s="21" t="s">
        <v>6</v>
      </c>
      <c r="B107" s="21" t="s">
        <v>28</v>
      </c>
      <c r="C107" s="4" t="str">
        <f t="shared" si="0"/>
        <v>5ο Έτος</v>
      </c>
      <c r="D107" s="22" t="s">
        <v>87</v>
      </c>
      <c r="E107" s="23" t="s">
        <v>187</v>
      </c>
      <c r="F107" s="14">
        <v>46272</v>
      </c>
      <c r="G107" s="24">
        <v>0.66666666666666663</v>
      </c>
      <c r="H107" s="24">
        <v>0.70833333333333337</v>
      </c>
      <c r="I107" s="4" t="str">
        <f t="shared" si="1"/>
        <v>16:00 - 17:00</v>
      </c>
      <c r="J107" s="4" t="s">
        <v>188</v>
      </c>
      <c r="K107" s="25" t="str">
        <f ca="1">IFERROR(__xludf.DUMMYFUNCTION("IF($E107="""", """", IF(OR(IFERROR(REGEXMATCH(TEXT($F107, ""dd/mm/yyyy""), SUBSTITUTE($G$2, "", "", ""|"")), FALSE), $F107=$G$4, $F107=$H$4), ""Εξέταση σε σ/κ ή αργία"", """"))"),"")</f>
        <v/>
      </c>
      <c r="L107" s="25" t="str">
        <f ca="1">IFERROR(__xludf.DUMMYFUNCTION("IFERROR(IF(ISNUMBER(SEARCH(TEXTJOIN("", "", TRUE, FILTER($E$8:$E$204, $F$8:$F$204 = F107, $J$8:$J$204 = J107, $G$8:$G$204 &lt; H107, $H$8:$H$204 &gt; G107, ROW($E$8:$E$204) &lt;&gt; ROW(E107))), #REF!)), """", TEXTJOIN("", "", TRUE, FILTER($E$8:$E$204, $F$8:$F$204 = "&amp;"F107, $J$8:$J$204 = J107, $G$8:$G$204 &lt; H107, $H$8:$H$204 &gt; G107, ROW($E$8:$E$204) &lt;&gt; ROW(E107)))), """")"),"Ποιότητα &amp; Έλεγχος Τροφίμων &amp; Σχετική Νομοθεσία")</f>
        <v>Ποιότητα &amp; Έλεγχος Τροφίμων &amp; Σχετική Νομοθεσία</v>
      </c>
      <c r="M107" s="23"/>
      <c r="N107" s="13"/>
    </row>
    <row r="108" spans="1:14" ht="30" x14ac:dyDescent="0.25">
      <c r="A108" s="21" t="s">
        <v>6</v>
      </c>
      <c r="B108" s="21" t="s">
        <v>28</v>
      </c>
      <c r="C108" s="4" t="str">
        <f t="shared" si="0"/>
        <v>5ο Έτος</v>
      </c>
      <c r="D108" s="22" t="s">
        <v>107</v>
      </c>
      <c r="E108" s="23" t="s">
        <v>189</v>
      </c>
      <c r="F108" s="14">
        <v>46283</v>
      </c>
      <c r="G108" s="24">
        <v>0.75</v>
      </c>
      <c r="H108" s="24">
        <v>0.83333333333333337</v>
      </c>
      <c r="I108" s="4" t="str">
        <f t="shared" si="1"/>
        <v>18:00 - 20:00</v>
      </c>
      <c r="J108" s="4" t="s">
        <v>188</v>
      </c>
      <c r="K108" s="25" t="str">
        <f ca="1">IFERROR(__xludf.DUMMYFUNCTION("IF($E108="""", """", IF(OR(IFERROR(REGEXMATCH(TEXT($F108, ""dd/mm/yyyy""), SUBSTITUTE($G$2, "", "", ""|"")), FALSE), $F108=$G$4, $F108=$H$4), ""Εξέταση σε σ/κ ή αργία"", """"))"),"")</f>
        <v/>
      </c>
      <c r="L108" s="25" t="str">
        <f ca="1">IFERROR(__xludf.DUMMYFUNCTION("IFERROR(IF(ISNUMBER(SEARCH(TEXTJOIN("", "", TRUE, FILTER($E$8:$E$204, $F$8:$F$204 = F108, $J$8:$J$204 = J108, $G$8:$G$204 &lt; H108, $H$8:$H$204 &gt; G108, ROW($E$8:$E$204) &lt;&gt; ROW(E108))), #REF!)), """", TEXTJOIN("", "", TRUE, FILTER($E$8:$E$204, $F$8:$F$204 = "&amp;"F108, $J$8:$J$204 = J108, $G$8:$G$204 &lt; H108, $H$8:$H$204 &gt; G108, ROW($E$8:$E$204) &lt;&gt; ROW(E108)))), """")"),"")</f>
        <v/>
      </c>
      <c r="M108" s="23"/>
      <c r="N108" s="13"/>
    </row>
    <row r="109" spans="1:14" ht="75" x14ac:dyDescent="0.25">
      <c r="A109" s="21" t="s">
        <v>6</v>
      </c>
      <c r="B109" s="21" t="s">
        <v>28</v>
      </c>
      <c r="C109" s="4" t="str">
        <f t="shared" si="0"/>
        <v>5ο Έτος</v>
      </c>
      <c r="D109" s="22" t="s">
        <v>92</v>
      </c>
      <c r="E109" s="23" t="s">
        <v>190</v>
      </c>
      <c r="F109" s="14">
        <v>46276</v>
      </c>
      <c r="G109" s="24">
        <v>0.75</v>
      </c>
      <c r="H109" s="24">
        <v>0.83333333333333337</v>
      </c>
      <c r="I109" s="4" t="str">
        <f t="shared" si="1"/>
        <v>18:00 - 20:00</v>
      </c>
      <c r="J109" s="4" t="s">
        <v>30</v>
      </c>
      <c r="K109" s="25" t="str">
        <f ca="1">IFERROR(__xludf.DUMMYFUNCTION("IF($E109="""", """", IF(OR(IFERROR(REGEXMATCH(TEXT($F109, ""dd/mm/yyyy""), SUBSTITUTE($G$2, "", "", ""|"")), FALSE), $F109=$G$4, $F109=$H$4), ""Εξέταση σε σ/κ ή αργία"", """"))"),"")</f>
        <v/>
      </c>
      <c r="L109" s="25" t="str">
        <f ca="1">IFERROR(__xludf.DUMMYFUNCTION("IFERROR(IF(ISNUMBER(SEARCH(TEXTJOIN("", "", TRUE, FILTER($E$8:$E$204, $F$8:$F$204 = F109, $J$8:$J$204 = J109, $G$8:$G$204 &lt; H109, $H$8:$H$204 &gt; G109, ROW($E$8:$E$204) &lt;&gt; ROW(E109))), #REF!)), """", TEXTJOIN("", "", TRUE, FILTER($E$8:$E$204, $F$8:$F$204 = "&amp;"F109, $J$8:$J$204 = J109, $G$8:$G$204 &lt; H109, $H$8:$H$204 &gt; G109, ROW($E$8:$E$204) &lt;&gt; ROW(E109)))), """")"),"Παθολογία Ζώων Συντροφιάς ΙV, Ειδική Παθολογία ΖΣ ΙV (ΠΠΣ), Ειδικη Παθολογία ΖΣ V (ΠΠΣ) (Γραπτά)")</f>
        <v>Παθολογία Ζώων Συντροφιάς ΙV, Ειδική Παθολογία ΖΣ ΙV (ΠΠΣ), Ειδικη Παθολογία ΖΣ V (ΠΠΣ) (Γραπτά)</v>
      </c>
      <c r="M109" s="23"/>
      <c r="N109" s="13"/>
    </row>
    <row r="110" spans="1:14" ht="90" x14ac:dyDescent="0.25">
      <c r="A110" s="21" t="s">
        <v>6</v>
      </c>
      <c r="B110" s="21" t="s">
        <v>28</v>
      </c>
      <c r="C110" s="4" t="str">
        <f t="shared" si="0"/>
        <v>5ο Έτος</v>
      </c>
      <c r="D110" s="22" t="s">
        <v>92</v>
      </c>
      <c r="E110" s="23" t="s">
        <v>191</v>
      </c>
      <c r="F110" s="14">
        <v>46281</v>
      </c>
      <c r="G110" s="24">
        <v>0.75</v>
      </c>
      <c r="H110" s="24">
        <v>0.875</v>
      </c>
      <c r="I110" s="4" t="str">
        <f t="shared" si="1"/>
        <v>18:00 - 21:00</v>
      </c>
      <c r="J110" s="4" t="s">
        <v>188</v>
      </c>
      <c r="K110" s="25" t="str">
        <f ca="1">IFERROR(__xludf.DUMMYFUNCTION("IF($E110="""", """", IF(OR(IFERROR(REGEXMATCH(TEXT($F110, ""dd/mm/yyyy""), SUBSTITUTE($G$2, "", "", ""|"")), FALSE), $F110=$G$4, $F110=$H$4), ""Εξέταση σε σ/κ ή αργία"", """"))"),"")</f>
        <v/>
      </c>
      <c r="L110" s="25" t="str">
        <f ca="1">IFERROR(__xludf.DUMMYFUNCTION("IFERROR(IF(ISNUMBER(SEARCH(TEXTJOIN("", "", TRUE, FILTER($E$8:$E$204, $F$8:$F$204 = F110, $J$8:$J$204 = J110, $G$8:$G$204 &lt; H110, $H$8:$H$204 &gt; G110, ROW($E$8:$E$204) &lt;&gt; ROW(E110))), #REF!)), """", TEXTJOIN("", "", TRUE, FILTER($E$8:$E$204, $F$8:$F$204 = "&amp;"F110, $J$8:$J$204 = J110, $G$8:$G$204 &lt; H110, $H$8:$H$204 &gt; G110, ROW($E$8:$E$204) &lt;&gt; ROW(E110)))), """")"),"Εφαρμογή Καινοτόμων Ιδεών &amp; Τεχνολογιών στη Χοιροτροφία &amp; Πτηνοτροφία, Φυσιοθεραπεία των Ζώων Συντροφιάς")</f>
        <v>Εφαρμογή Καινοτόμων Ιδεών &amp; Τεχνολογιών στη Χοιροτροφία &amp; Πτηνοτροφία, Φυσιοθεραπεία των Ζώων Συντροφιάς</v>
      </c>
      <c r="M110" s="23"/>
      <c r="N110" s="13"/>
    </row>
    <row r="111" spans="1:14" ht="75" x14ac:dyDescent="0.25">
      <c r="A111" s="21" t="s">
        <v>6</v>
      </c>
      <c r="B111" s="21" t="s">
        <v>28</v>
      </c>
      <c r="C111" s="4" t="str">
        <f t="shared" si="0"/>
        <v>5ο Έτος</v>
      </c>
      <c r="D111" s="22" t="s">
        <v>92</v>
      </c>
      <c r="E111" s="23" t="s">
        <v>192</v>
      </c>
      <c r="F111" s="14">
        <v>46281</v>
      </c>
      <c r="G111" s="24">
        <v>0.75</v>
      </c>
      <c r="H111" s="24">
        <v>0.875</v>
      </c>
      <c r="I111" s="4" t="str">
        <f t="shared" si="1"/>
        <v>18:00 - 21:00</v>
      </c>
      <c r="J111" s="4" t="s">
        <v>188</v>
      </c>
      <c r="K111" s="25" t="str">
        <f ca="1">IFERROR(__xludf.DUMMYFUNCTION("IF($E111="""", """", IF(OR(IFERROR(REGEXMATCH(TEXT($F111, ""dd/mm/yyyy""), SUBSTITUTE($G$2, "", "", ""|"")), FALSE), $F111=$G$4, $F111=$H$4), ""Εξέταση σε σ/κ ή αργία"", """"))"),"")</f>
        <v/>
      </c>
      <c r="L111" s="25" t="str">
        <f ca="1">IFERROR(__xludf.DUMMYFUNCTION("IFERROR(IF(ISNUMBER(SEARCH(TEXTJOIN("", "", TRUE, FILTER($E$8:$E$204, $F$8:$F$204 = F111, $J$8:$J$204 = J111, $G$8:$G$204 &lt; H111, $H$8:$H$204 &gt; G111, ROW($E$8:$E$204) &lt;&gt; ROW(E111))), #REF!)), """", TEXTJOIN("", "", TRUE, FILTER($E$8:$E$204, $F$8:$F$204 = "&amp;"F111, $J$8:$J$204 = J111, $G$8:$G$204 &lt; H111, $H$8:$H$204 &gt; G111, ROW($E$8:$E$204) &lt;&gt; ROW(E111)))), """")"),"Εξειδικευμένα Μαθήματα Παθολογίας της Γάτας, Φυσιοθεραπεία των Ζώων Συντροφιάς")</f>
        <v>Εξειδικευμένα Μαθήματα Παθολογίας της Γάτας, Φυσιοθεραπεία των Ζώων Συντροφιάς</v>
      </c>
      <c r="M111" s="23"/>
      <c r="N111" s="13"/>
    </row>
    <row r="112" spans="1:14" ht="30" x14ac:dyDescent="0.25">
      <c r="A112" s="21" t="s">
        <v>6</v>
      </c>
      <c r="B112" s="21" t="s">
        <v>56</v>
      </c>
      <c r="C112" s="4" t="str">
        <f t="shared" si="0"/>
        <v>5ο Έτος</v>
      </c>
      <c r="D112" s="22"/>
      <c r="E112" s="23" t="s">
        <v>193</v>
      </c>
      <c r="F112" s="14">
        <v>46266</v>
      </c>
      <c r="G112" s="24">
        <v>0.70833333333333337</v>
      </c>
      <c r="H112" s="24">
        <v>0.79166666666666663</v>
      </c>
      <c r="I112" s="4" t="str">
        <f t="shared" si="1"/>
        <v>17:00 - 19:00</v>
      </c>
      <c r="J112" s="4" t="s">
        <v>85</v>
      </c>
      <c r="K112" s="25" t="str">
        <f ca="1">IFERROR(__xludf.DUMMYFUNCTION("IF($E112="""", """", IF(OR(IFERROR(REGEXMATCH(TEXT($F112, ""dd/mm/yyyy""), SUBSTITUTE($G$2, "", "", ""|"")), FALSE), $F112=$G$4, $F112=$H$4), ""Εξέταση σε σ/κ ή αργία"", """"))"),"")</f>
        <v/>
      </c>
      <c r="L112" s="25" t="str">
        <f ca="1">IFERROR(__xludf.DUMMYFUNCTION("IFERROR(IF(ISNUMBER(SEARCH(TEXTJOIN("", "", TRUE, FILTER($E$8:$E$204, $F$8:$F$204 = F112, $J$8:$J$204 = J112, $G$8:$G$204 &lt; H112, $H$8:$H$204 &gt; G112, ROW($E$8:$E$204) &lt;&gt; ROW(E112))), #REF!)), """", TEXTJOIN("", "", TRUE, FILTER($E$8:$E$204, $F$8:$F$204 = "&amp;"F112, $J$8:$J$204 = J112, $G$8:$G$204 &lt; H112, $H$8:$H$204 &gt; G112, ROW($E$8:$E$204) &lt;&gt; ROW(E112)))), """")"),"")</f>
        <v/>
      </c>
      <c r="M112" s="23"/>
      <c r="N112" s="13"/>
    </row>
    <row r="113" spans="1:14" ht="60" x14ac:dyDescent="0.25">
      <c r="A113" s="21" t="s">
        <v>6</v>
      </c>
      <c r="B113" s="21" t="s">
        <v>56</v>
      </c>
      <c r="C113" s="4" t="str">
        <f t="shared" si="0"/>
        <v>5ο Έτος</v>
      </c>
      <c r="D113" s="22" t="s">
        <v>115</v>
      </c>
      <c r="E113" s="23" t="s">
        <v>194</v>
      </c>
      <c r="F113" s="14">
        <v>46275</v>
      </c>
      <c r="G113" s="24">
        <v>0.375</v>
      </c>
      <c r="H113" s="24">
        <v>0.45833333333333331</v>
      </c>
      <c r="I113" s="4" t="str">
        <f t="shared" si="1"/>
        <v>09:00 - 11:00</v>
      </c>
      <c r="J113" s="4" t="s">
        <v>30</v>
      </c>
      <c r="K113" s="25" t="str">
        <f ca="1">IFERROR(__xludf.DUMMYFUNCTION("IF($E113="""", """", IF(OR(IFERROR(REGEXMATCH(TEXT($F113, ""dd/mm/yyyy""), SUBSTITUTE($G$2, "", "", ""|"")), FALSE), $F113=$G$4, $F113=$H$4), ""Εξέταση σε σ/κ ή αργία"", """"))"),"")</f>
        <v/>
      </c>
      <c r="L113" s="25" t="str">
        <f ca="1">IFERROR(__xludf.DUMMYFUNCTION("IFERROR(IF(ISNUMBER(SEARCH(TEXTJOIN("", "", TRUE, FILTER($E$8:$E$204, $F$8:$F$204 = F113, $J$8:$J$204 = J113, $G$8:$G$204 &lt; H113, $H$8:$H$204 &gt; G113, ROW($E$8:$E$204) &lt;&gt; ROW(E113))), #REF!)), """", TEXTJOIN("", "", TRUE, FILTER($E$8:$E$204, $F$8:$F$204 = "&amp;"F113, $J$8:$J$204 = J113, $G$8:$G$204 &lt; H113, $H$8:$H$204 &gt; G113, ROW($E$8:$E$204) &lt;&gt; ROW(E113)))), """")"),"")</f>
        <v/>
      </c>
      <c r="M113" s="23"/>
      <c r="N113" s="13"/>
    </row>
    <row r="114" spans="1:14" ht="120" x14ac:dyDescent="0.25">
      <c r="A114" s="21" t="s">
        <v>6</v>
      </c>
      <c r="B114" s="21" t="s">
        <v>56</v>
      </c>
      <c r="C114" s="4" t="str">
        <f t="shared" si="0"/>
        <v>5ο Έτος</v>
      </c>
      <c r="D114" s="22" t="s">
        <v>115</v>
      </c>
      <c r="E114" s="23" t="s">
        <v>195</v>
      </c>
      <c r="F114" s="14">
        <v>46273</v>
      </c>
      <c r="G114" s="24">
        <v>0.375</v>
      </c>
      <c r="H114" s="24">
        <v>0.70833333333333337</v>
      </c>
      <c r="I114" s="4" t="str">
        <f t="shared" si="1"/>
        <v>09:00 - 17:00</v>
      </c>
      <c r="J114" s="4" t="s">
        <v>167</v>
      </c>
      <c r="K114" s="25" t="str">
        <f ca="1">IFERROR(__xludf.DUMMYFUNCTION("IF($E114="""", """", IF(OR(IFERROR(REGEXMATCH(TEXT($F114, ""dd/mm/yyyy""), SUBSTITUTE($G$2, "", "", ""|"")), FALSE), $F114=$G$4, $F114=$H$4), ""Εξέταση σε σ/κ ή αργία"", """"))"),"")</f>
        <v/>
      </c>
      <c r="L114" s="25" t="str">
        <f ca="1">IFERROR(__xludf.DUMMYFUNCTION("IFERROR(IF(ISNUMBER(SEARCH(TEXTJOIN("", "", TRUE, FILTER($E$8:$E$204, $F$8:$F$204 = F114, $J$8:$J$204 = J114, $G$8:$G$204 &lt; H114, $H$8:$H$204 &gt; G114, ROW($E$8:$E$204) &lt;&gt; ROW(E114))), #REF!)), """", TEXTJOIN("", "", TRUE, FILTER($E$8:$E$204, $F$8:$F$204 = "&amp;"F114, $J$8:$J$204 = J114, $G$8:$G$204 &lt; H114, $H$8:$H$204 &gt; G114, ROW($E$8:$E$204) &lt;&gt; ROW(E114)))), """")"),"Πρακτική Άσκηση στην Αναισθησιολογία, τη Χειρουργική &amp; την Απεικονιστική Διαγνωστική Ι (Πρακτικά) (1η ημέρα), Χειρουργική ΙV (Πρακτικά) (1η ημέρα)")</f>
        <v>Πρακτική Άσκηση στην Αναισθησιολογία, τη Χειρουργική &amp; την Απεικονιστική Διαγνωστική Ι (Πρακτικά) (1η ημέρα), Χειρουργική ΙV (Πρακτικά) (1η ημέρα)</v>
      </c>
      <c r="M114" s="25" t="s">
        <v>196</v>
      </c>
      <c r="N114" s="13"/>
    </row>
    <row r="115" spans="1:14" ht="120" x14ac:dyDescent="0.25">
      <c r="A115" s="21" t="s">
        <v>6</v>
      </c>
      <c r="B115" s="21" t="s">
        <v>56</v>
      </c>
      <c r="C115" s="4" t="str">
        <f t="shared" si="0"/>
        <v>5ο Έτος</v>
      </c>
      <c r="D115" s="22" t="s">
        <v>115</v>
      </c>
      <c r="E115" s="23" t="s">
        <v>197</v>
      </c>
      <c r="F115" s="14">
        <v>46274</v>
      </c>
      <c r="G115" s="24">
        <v>0.375</v>
      </c>
      <c r="H115" s="24">
        <v>0.70833333333333337</v>
      </c>
      <c r="I115" s="4" t="str">
        <f t="shared" si="1"/>
        <v>09:00 - 17:00</v>
      </c>
      <c r="J115" s="4" t="s">
        <v>167</v>
      </c>
      <c r="K115" s="25" t="str">
        <f ca="1">IFERROR(__xludf.DUMMYFUNCTION("IF($E115="""", """", IF(OR(IFERROR(REGEXMATCH(TEXT($F115, ""dd/mm/yyyy""), SUBSTITUTE($G$2, "", "", ""|"")), FALSE), $F115=$G$4, $F115=$H$4), ""Εξέταση σε σ/κ ή αργία"", """"))"),"")</f>
        <v/>
      </c>
      <c r="L115" s="25" t="str">
        <f ca="1">IFERROR(__xludf.DUMMYFUNCTION("IFERROR(IF(ISNUMBER(SEARCH(TEXTJOIN("", "", TRUE, FILTER($E$8:$E$204, $F$8:$F$204 = F115, $J$8:$J$204 = J115, $G$8:$G$204 &lt; H115, $H$8:$H$204 &gt; G115, ROW($E$8:$E$204) &lt;&gt; ROW(E115))), #REF!)), """", TEXTJOIN("", "", TRUE, FILTER($E$8:$E$204, $F$8:$F$204 = "&amp;"F115, $J$8:$J$204 = J115, $G$8:$G$204 &lt; H115, $H$8:$H$204 &gt; G115, ROW($E$8:$E$204) &lt;&gt; ROW(E115)))), """")"),"Πρακτική Άσκηση στην Αναισθησιολογία, τη Χειρουργική &amp; την Απεικονιστική Διαγνωστική Ι (Πρακτικά) (2η ημέρα), Χειρουργική ΙV (Πρακτικά) (2η ημέρα)")</f>
        <v>Πρακτική Άσκηση στην Αναισθησιολογία, τη Χειρουργική &amp; την Απεικονιστική Διαγνωστική Ι (Πρακτικά) (2η ημέρα), Χειρουργική ΙV (Πρακτικά) (2η ημέρα)</v>
      </c>
      <c r="M115" s="25" t="s">
        <v>198</v>
      </c>
      <c r="N115" s="13"/>
    </row>
    <row r="116" spans="1:14" ht="120" x14ac:dyDescent="0.25">
      <c r="A116" s="21" t="s">
        <v>6</v>
      </c>
      <c r="B116" s="21" t="s">
        <v>56</v>
      </c>
      <c r="C116" s="4" t="str">
        <f t="shared" si="0"/>
        <v>5ο Έτος</v>
      </c>
      <c r="D116" s="22" t="s">
        <v>115</v>
      </c>
      <c r="E116" s="23" t="s">
        <v>199</v>
      </c>
      <c r="F116" s="14">
        <v>46275</v>
      </c>
      <c r="G116" s="24">
        <v>0.45833333333333331</v>
      </c>
      <c r="H116" s="24">
        <v>0.70833333333333337</v>
      </c>
      <c r="I116" s="4" t="str">
        <f t="shared" si="1"/>
        <v>11:00 - 17:00</v>
      </c>
      <c r="J116" s="4" t="s">
        <v>167</v>
      </c>
      <c r="K116" s="25" t="str">
        <f ca="1">IFERROR(__xludf.DUMMYFUNCTION("IF($E116="""", """", IF(OR(IFERROR(REGEXMATCH(TEXT($F116, ""dd/mm/yyyy""), SUBSTITUTE($G$2, "", "", ""|"")), FALSE), $F116=$G$4, $F116=$H$4), ""Εξέταση σε σ/κ ή αργία"", """"))"),"")</f>
        <v/>
      </c>
      <c r="L116" s="25" t="str">
        <f ca="1">IFERROR(__xludf.DUMMYFUNCTION("IFERROR(IF(ISNUMBER(SEARCH(TEXTJOIN("", "", TRUE, FILTER($E$8:$E$204, $F$8:$F$204 = F116, $J$8:$J$204 = J116, $G$8:$G$204 &lt; H116, $H$8:$H$204 &gt; G116, ROW($E$8:$E$204) &lt;&gt; ROW(E116))), #REF!)), """", TEXTJOIN("", "", TRUE, FILTER($E$8:$E$204, $F$8:$F$204 = "&amp;"F116, $J$8:$J$204 = J116, $G$8:$G$204 &lt; H116, $H$8:$H$204 &gt; G116, ROW($E$8:$E$204) &lt;&gt; ROW(E116)))), """")"),"Πρακτική Άσκηση στην Αναισθησιολογία, τη Χειρουργική &amp; την Απεικονιστική Διαγνωστική Ι (Πρακτικά) (3η ημέρα), Χειρουργική ΙV (Πρακτικά) (3η ημέρα)")</f>
        <v>Πρακτική Άσκηση στην Αναισθησιολογία, τη Χειρουργική &amp; την Απεικονιστική Διαγνωστική Ι (Πρακτικά) (3η ημέρα), Χειρουργική ΙV (Πρακτικά) (3η ημέρα)</v>
      </c>
      <c r="M116" s="25" t="s">
        <v>200</v>
      </c>
      <c r="N116" s="13"/>
    </row>
    <row r="117" spans="1:14" ht="45" x14ac:dyDescent="0.25">
      <c r="A117" s="21" t="s">
        <v>6</v>
      </c>
      <c r="B117" s="21" t="s">
        <v>56</v>
      </c>
      <c r="C117" s="4" t="str">
        <f t="shared" si="0"/>
        <v>5ο Έτος</v>
      </c>
      <c r="D117" s="22" t="s">
        <v>83</v>
      </c>
      <c r="E117" s="23" t="s">
        <v>201</v>
      </c>
      <c r="F117" s="27">
        <v>46265</v>
      </c>
      <c r="G117" s="24">
        <v>0.375</v>
      </c>
      <c r="H117" s="24">
        <v>0.5</v>
      </c>
      <c r="I117" s="4" t="str">
        <f t="shared" si="1"/>
        <v>09:00 - 12:00</v>
      </c>
      <c r="J117" s="4" t="s">
        <v>85</v>
      </c>
      <c r="K117" s="25" t="str">
        <f ca="1">IFERROR(__xludf.DUMMYFUNCTION("IF($E117="""", """", IF(OR(IFERROR(REGEXMATCH(TEXT($F117, ""dd/mm/yyyy""), SUBSTITUTE($G$2, "", "", ""|"")), FALSE), $F117=$G$4, $F117=$H$4), ""Εξέταση σε σ/κ ή αργία"", """"))"),"")</f>
        <v/>
      </c>
      <c r="L117" s="25" t="str">
        <f ca="1">IFERROR(__xludf.DUMMYFUNCTION("IFERROR(IF(ISNUMBER(SEARCH(TEXTJOIN("", "", TRUE, FILTER($E$8:$E$204, $F$8:$F$204 = F117, $J$8:$J$204 = J117, $G$8:$G$204 &lt; H117, $H$8:$H$204 &gt; G117, ROW($E$8:$E$204) &lt;&gt; ROW(E117))), #REF!)), """", TEXTJOIN("", "", TRUE, FILTER($E$8:$E$204, $F$8:$F$204 = "&amp;"F117, $J$8:$J$204 = J117, $G$8:$G$204 &lt; H117, $H$8:$H$204 &gt; G117, ROW($E$8:$E$204) &lt;&gt; ROW(E117)))), """")"),"")</f>
        <v/>
      </c>
      <c r="M117" s="23" t="s">
        <v>202</v>
      </c>
      <c r="N117" s="13"/>
    </row>
    <row r="118" spans="1:14" ht="45" x14ac:dyDescent="0.25">
      <c r="A118" s="31" t="s">
        <v>6</v>
      </c>
      <c r="B118" s="31" t="s">
        <v>56</v>
      </c>
      <c r="C118" s="32" t="str">
        <f t="shared" si="0"/>
        <v>5ο Έτος</v>
      </c>
      <c r="D118" s="22" t="s">
        <v>83</v>
      </c>
      <c r="E118" s="33" t="s">
        <v>203</v>
      </c>
      <c r="F118" s="27">
        <v>46265</v>
      </c>
      <c r="G118" s="28">
        <v>0.5</v>
      </c>
      <c r="H118" s="28">
        <v>0.70833333333333337</v>
      </c>
      <c r="I118" s="4" t="str">
        <f t="shared" si="1"/>
        <v>12:00 - 17:00</v>
      </c>
      <c r="J118" s="29" t="s">
        <v>204</v>
      </c>
      <c r="K118" s="25" t="str">
        <f ca="1">IFERROR(__xludf.DUMMYFUNCTION("IF($E118="""", """", IF(OR(IFERROR(REGEXMATCH(TEXT($F118, ""dd/mm/yyyy""), SUBSTITUTE($G$2, "", "", ""|"")), FALSE), $F118=$G$4, $F118=$H$4), ""Εξέταση σε σ/κ ή αργία"", """"))"),"")</f>
        <v/>
      </c>
      <c r="L118" s="25" t="str">
        <f ca="1">IFERROR(__xludf.DUMMYFUNCTION("IFERROR(IF(ISNUMBER(SEARCH(TEXTJOIN("", "", TRUE, FILTER($E$8:$E$204, $F$8:$F$204 = F118, $J$8:$J$204 = J118, $G$8:$G$204 &lt; H118, $H$8:$H$204 &gt; G118, ROW($E$8:$E$204) &lt;&gt; ROW(E118))), #REF!)), """", TEXTJOIN("", "", TRUE, FILTER($E$8:$E$204, $F$8:$F$204 = "&amp;"F118, $J$8:$J$204 = J118, $G$8:$G$204 &lt; H118, $H$8:$H$204 &gt; G118, ROW($E$8:$E$204) &lt;&gt; ROW(E118)))), """")"),"")</f>
        <v/>
      </c>
      <c r="M118" s="34"/>
      <c r="N118" s="35"/>
    </row>
    <row r="119" spans="1:14" ht="45" x14ac:dyDescent="0.25">
      <c r="A119" s="21" t="s">
        <v>6</v>
      </c>
      <c r="B119" s="21" t="s">
        <v>56</v>
      </c>
      <c r="C119" s="4" t="str">
        <f t="shared" si="0"/>
        <v>5ο Έτος</v>
      </c>
      <c r="D119" s="22" t="s">
        <v>107</v>
      </c>
      <c r="E119" s="23" t="s">
        <v>205</v>
      </c>
      <c r="F119" s="14">
        <v>46282</v>
      </c>
      <c r="G119" s="26">
        <v>0.45833333333333331</v>
      </c>
      <c r="H119" s="24">
        <v>0.58333333333333337</v>
      </c>
      <c r="I119" s="4" t="str">
        <f t="shared" si="1"/>
        <v>11:00 - 14:00</v>
      </c>
      <c r="J119" s="4" t="s">
        <v>39</v>
      </c>
      <c r="K119" s="25" t="str">
        <f ca="1">IFERROR(__xludf.DUMMYFUNCTION("IF($E119="""", """", IF(OR(IFERROR(REGEXMATCH(TEXT($F119, ""dd/mm/yyyy""), SUBSTITUTE($G$2, "", "", ""|"")), FALSE), $F119=$G$4, $F119=$H$4), ""Εξέταση σε σ/κ ή αργία"", """"))"),"")</f>
        <v/>
      </c>
      <c r="L119" s="25" t="str">
        <f ca="1">IFERROR(__xludf.DUMMYFUNCTION("IFERROR(IF(ISNUMBER(SEARCH(TEXTJOIN("", "", TRUE, FILTER($E$8:$E$204, $F$8:$F$204 = F119, $J$8:$J$204 = J119, $G$8:$G$204 &lt; H119, $H$8:$H$204 &gt; G119, ROW($E$8:$E$204) &lt;&gt; ROW(E119))), #REF!)), """", TEXTJOIN("", "", TRUE, FILTER($E$8:$E$204, $F$8:$F$204 = "&amp;"F119, $J$8:$J$204 = J119, $G$8:$G$204 &lt; H119, $H$8:$H$204 &gt; G119, ROW($E$8:$E$204) &lt;&gt; ROW(E119)))), """")"),"Μαιευτική-Αναπαραγωγή ΙV (ΠΠΣ) (Γραπτά ΖΣ)")</f>
        <v>Μαιευτική-Αναπαραγωγή ΙV (ΠΠΣ) (Γραπτά ΖΣ)</v>
      </c>
      <c r="M119" s="23" t="s">
        <v>206</v>
      </c>
      <c r="N119" s="13"/>
    </row>
    <row r="120" spans="1:14" ht="60" x14ac:dyDescent="0.25">
      <c r="A120" s="21" t="s">
        <v>6</v>
      </c>
      <c r="B120" s="21" t="s">
        <v>56</v>
      </c>
      <c r="C120" s="4" t="str">
        <f t="shared" si="0"/>
        <v>5ο Έτος</v>
      </c>
      <c r="D120" s="22" t="s">
        <v>107</v>
      </c>
      <c r="E120" s="23" t="s">
        <v>207</v>
      </c>
      <c r="F120" s="14">
        <v>46282</v>
      </c>
      <c r="G120" s="26">
        <v>0.375</v>
      </c>
      <c r="H120" s="24">
        <v>0.45833333333333331</v>
      </c>
      <c r="I120" s="4" t="str">
        <f t="shared" si="1"/>
        <v>09:00 - 11:00</v>
      </c>
      <c r="J120" s="4" t="s">
        <v>70</v>
      </c>
      <c r="K120" s="25" t="str">
        <f ca="1">IFERROR(__xludf.DUMMYFUNCTION("IF($E120="""", """", IF(OR(IFERROR(REGEXMATCH(TEXT($F120, ""dd/mm/yyyy""), SUBSTITUTE($G$2, "", "", ""|"")), FALSE), $F120=$G$4, $F120=$H$4), ""Εξέταση σε σ/κ ή αργία"", """"))"),"")</f>
        <v/>
      </c>
      <c r="L120" s="25" t="str">
        <f ca="1">IFERROR(__xludf.DUMMYFUNCTION("IFERROR(IF(ISNUMBER(SEARCH(TEXTJOIN("", "", TRUE, FILTER($E$8:$E$204, $F$8:$F$204 = F120, $J$8:$J$204 = J120, $G$8:$G$204 &lt; H120, $H$8:$H$204 &gt; G120, ROW($E$8:$E$204) &lt;&gt; ROW(E120))), #REF!)), """", TEXTJOIN("", "", TRUE, FILTER($E$8:$E$204, $F$8:$F$204 = "&amp;"F120, $J$8:$J$204 = J120, $G$8:$G$204 &lt; H120, $H$8:$H$204 &gt; G120, ROW($E$8:$E$204) &lt;&gt; ROW(E120)))), """")"),"Μαιευτική-Αναπαραγωγή ΙV (ΠΠΣ) (Γραπτά Μικρά Μηρυκαστικά)")</f>
        <v>Μαιευτική-Αναπαραγωγή ΙV (ΠΠΣ) (Γραπτά Μικρά Μηρυκαστικά)</v>
      </c>
      <c r="M120" s="23" t="s">
        <v>208</v>
      </c>
      <c r="N120" s="13"/>
    </row>
    <row r="121" spans="1:14" ht="45" x14ac:dyDescent="0.25">
      <c r="A121" s="21" t="s">
        <v>6</v>
      </c>
      <c r="B121" s="21" t="s">
        <v>56</v>
      </c>
      <c r="C121" s="4" t="str">
        <f t="shared" si="0"/>
        <v>5ο Έτος</v>
      </c>
      <c r="D121" s="22" t="s">
        <v>107</v>
      </c>
      <c r="E121" s="23" t="s">
        <v>209</v>
      </c>
      <c r="F121" s="14">
        <v>46283</v>
      </c>
      <c r="G121" s="26">
        <v>0.375</v>
      </c>
      <c r="H121" s="24">
        <v>0.58333333333333337</v>
      </c>
      <c r="I121" s="4" t="str">
        <f t="shared" si="1"/>
        <v>09:00 - 14:00</v>
      </c>
      <c r="J121" s="4" t="s">
        <v>210</v>
      </c>
      <c r="K121" s="25" t="str">
        <f ca="1">IFERROR(__xludf.DUMMYFUNCTION("IF($E121="""", """", IF(OR(IFERROR(REGEXMATCH(TEXT($F121, ""dd/mm/yyyy""), SUBSTITUTE($G$2, "", "", ""|"")), FALSE), $F121=$G$4, $F121=$H$4), ""Εξέταση σε σ/κ ή αργία"", """"))"),"")</f>
        <v/>
      </c>
      <c r="L121" s="25" t="str">
        <f ca="1">IFERROR(__xludf.DUMMYFUNCTION("IFERROR(IF(ISNUMBER(SEARCH(TEXTJOIN("", "", TRUE, FILTER($E$8:$E$204, $F$8:$F$204 = F121, $J$8:$J$204 = J121, $G$8:$G$204 &lt; H121, $H$8:$H$204 &gt; G121, ROW($E$8:$E$204) &lt;&gt; ROW(E121))), #REF!)), """", TEXTJOIN("", "", TRUE, FILTER($E$8:$E$204, $F$8:$F$204 = "&amp;"F121, $J$8:$J$204 = J121, $G$8:$G$204 &lt; H121, $H$8:$H$204 &gt; G121, ROW($E$8:$E$204) &lt;&gt; ROW(E121)))), """")"),"Μαιευτική-Αναπαραγωγή ΙV (ΠΠΣ) (Πρακτικά Βοοειδή)")</f>
        <v>Μαιευτική-Αναπαραγωγή ΙV (ΠΠΣ) (Πρακτικά Βοοειδή)</v>
      </c>
      <c r="M121" s="25" t="s">
        <v>211</v>
      </c>
      <c r="N121" s="13"/>
    </row>
    <row r="122" spans="1:14" ht="45" hidden="1" x14ac:dyDescent="0.25">
      <c r="A122" s="21" t="s">
        <v>6</v>
      </c>
      <c r="B122" s="21" t="s">
        <v>56</v>
      </c>
      <c r="C122" s="4" t="str">
        <f t="shared" si="0"/>
        <v>5ο Έτος</v>
      </c>
      <c r="D122" s="22" t="s">
        <v>107</v>
      </c>
      <c r="E122" s="23" t="s">
        <v>212</v>
      </c>
      <c r="F122" s="14"/>
      <c r="G122" s="26"/>
      <c r="H122" s="24"/>
      <c r="I122" s="4" t="str">
        <f t="shared" si="1"/>
        <v/>
      </c>
      <c r="J122" s="4"/>
      <c r="K122" s="25" t="str">
        <f ca="1">IFERROR(__xludf.DUMMYFUNCTION("IF($E122="""", """", IF(OR(IFERROR(REGEXMATCH(TEXT($F122, ""dd/mm/yyyy""), SUBSTITUTE($G$2, "", "", ""|"")), FALSE), $F122=$G$4, $F122=$H$4), ""Εξέταση σε σ/κ ή αργία"", """"))"),"")</f>
        <v/>
      </c>
      <c r="L122" s="25" t="str">
        <f ca="1">IFERROR(__xludf.DUMMYFUNCTION("IFERROR(IF(ISNUMBER(SEARCH(TEXTJOIN("", "", TRUE, FILTER($E$8:$E$204, $F$8:$F$204 = F122, $J$8:$J$204 = J122, $G$8:$G$204 &lt; H122, $H$8:$H$204 &gt; G122, ROW($E$8:$E$204) &lt;&gt; ROW(E122))), #REF!)), """", TEXTJOIN("", "", TRUE, FILTER($E$8:$E$204, $F$8:$F$204 = "&amp;"F122, $J$8:$J$204 = J122, $G$8:$G$204 &lt; H122, $H$8:$H$204 &gt; G122, ROW($E$8:$E$204) &lt;&gt; ROW(E122)))), """")"),"")</f>
        <v/>
      </c>
      <c r="M122" s="23"/>
      <c r="N122" s="13"/>
    </row>
    <row r="123" spans="1:14" ht="90" x14ac:dyDescent="0.25">
      <c r="A123" s="21" t="s">
        <v>6</v>
      </c>
      <c r="B123" s="21" t="s">
        <v>56</v>
      </c>
      <c r="C123" s="4" t="str">
        <f t="shared" si="0"/>
        <v>5ο Έτος</v>
      </c>
      <c r="D123" s="22" t="s">
        <v>92</v>
      </c>
      <c r="E123" s="23" t="s">
        <v>213</v>
      </c>
      <c r="F123" s="14">
        <v>46267</v>
      </c>
      <c r="G123" s="24">
        <v>0.375</v>
      </c>
      <c r="H123" s="24">
        <v>0.625</v>
      </c>
      <c r="I123" s="4" t="str">
        <f t="shared" si="1"/>
        <v>09:00 - 15:00</v>
      </c>
      <c r="J123" s="4" t="s">
        <v>177</v>
      </c>
      <c r="K123" s="25" t="str">
        <f ca="1">IFERROR(__xludf.DUMMYFUNCTION("IF($E123="""", """", IF(OR(IFERROR(REGEXMATCH(TEXT($F123, ""dd/mm/yyyy""), SUBSTITUTE($G$2, "", "", ""|"")), FALSE), $F123=$G$4, $F123=$H$4), ""Εξέταση σε σ/κ ή αργία"", """"))"),"")</f>
        <v/>
      </c>
      <c r="L123" s="25" t="str">
        <f ca="1">IFERROR(__xludf.DUMMYFUNCTION("IFERROR(IF(ISNUMBER(SEARCH(TEXTJOIN("", "", TRUE, FILTER($E$8:$E$204, $F$8:$F$204 = F123, $J$8:$J$204 = J123, $G$8:$G$204 &lt; H123, $H$8:$H$204 &gt; G123, ROW($E$8:$E$204) &lt;&gt; ROW(E123))), #REF!)), """", TEXTJOIN("", "", TRUE, FILTER($E$8:$E$204, $F$8:$F$204 = "&amp;"F123, $J$8:$J$204 = J123, $G$8:$G$204 &lt; H123, $H$8:$H$204 &gt; G123, ROW($E$8:$E$204) &lt;&gt; ROW(E123)))), """")"),"Πρακτική Άσκηση στην Παθολογία Ζώων Συντροφιάς Ι (1η ημέρα), Ειδικη Παθολογία ΖΣ V (ΠΠΣ) (Πρακτικά) (1η ημέρα)")</f>
        <v>Πρακτική Άσκηση στην Παθολογία Ζώων Συντροφιάς Ι (1η ημέρα), Ειδικη Παθολογία ΖΣ V (ΠΠΣ) (Πρακτικά) (1η ημέρα)</v>
      </c>
      <c r="M123" s="25" t="s">
        <v>214</v>
      </c>
      <c r="N123" s="13"/>
    </row>
    <row r="124" spans="1:14" ht="90" x14ac:dyDescent="0.25">
      <c r="A124" s="21" t="s">
        <v>6</v>
      </c>
      <c r="B124" s="21" t="s">
        <v>56</v>
      </c>
      <c r="C124" s="4" t="str">
        <f t="shared" si="0"/>
        <v>5ο Έτος</v>
      </c>
      <c r="D124" s="22" t="s">
        <v>92</v>
      </c>
      <c r="E124" s="23" t="s">
        <v>215</v>
      </c>
      <c r="F124" s="14">
        <v>46268</v>
      </c>
      <c r="G124" s="24">
        <v>0.375</v>
      </c>
      <c r="H124" s="24">
        <v>0.625</v>
      </c>
      <c r="I124" s="4" t="str">
        <f t="shared" si="1"/>
        <v>09:00 - 15:00</v>
      </c>
      <c r="J124" s="4" t="s">
        <v>177</v>
      </c>
      <c r="K124" s="25" t="str">
        <f ca="1">IFERROR(__xludf.DUMMYFUNCTION("IF($E124="""", """", IF(OR(IFERROR(REGEXMATCH(TEXT($F124, ""dd/mm/yyyy""), SUBSTITUTE($G$2, "", "", ""|"")), FALSE), $F124=$G$4, $F124=$H$4), ""Εξέταση σε σ/κ ή αργία"", """"))"),"")</f>
        <v/>
      </c>
      <c r="L124" s="25" t="str">
        <f ca="1">IFERROR(__xludf.DUMMYFUNCTION("IFERROR(IF(ISNUMBER(SEARCH(TEXTJOIN("", "", TRUE, FILTER($E$8:$E$204, $F$8:$F$204 = F124, $J$8:$J$204 = J124, $G$8:$G$204 &lt; H124, $H$8:$H$204 &gt; G124, ROW($E$8:$E$204) &lt;&gt; ROW(E124))), #REF!)), """", TEXTJOIN("", "", TRUE, FILTER($E$8:$E$204, $F$8:$F$204 = "&amp;"F124, $J$8:$J$204 = J124, $G$8:$G$204 &lt; H124, $H$8:$H$204 &gt; G124, ROW($E$8:$E$204) &lt;&gt; ROW(E124)))), """")"),"Πρακτική Άσκηση στην Παθολογία Ζώων Συντροφιάς Ι (2η ημέρα), Ειδικη Παθολογία ΖΣ V (ΠΠΣ) (Πρακτικά) (2η ημέρα)")</f>
        <v>Πρακτική Άσκηση στην Παθολογία Ζώων Συντροφιάς Ι (2η ημέρα), Ειδικη Παθολογία ΖΣ V (ΠΠΣ) (Πρακτικά) (2η ημέρα)</v>
      </c>
      <c r="M124" s="25" t="s">
        <v>216</v>
      </c>
      <c r="N124" s="13"/>
    </row>
    <row r="125" spans="1:14" ht="90" x14ac:dyDescent="0.25">
      <c r="A125" s="21" t="s">
        <v>6</v>
      </c>
      <c r="B125" s="21" t="s">
        <v>56</v>
      </c>
      <c r="C125" s="4" t="str">
        <f t="shared" si="0"/>
        <v>5ο Έτος</v>
      </c>
      <c r="D125" s="22" t="s">
        <v>92</v>
      </c>
      <c r="E125" s="23" t="s">
        <v>217</v>
      </c>
      <c r="F125" s="14">
        <v>46269</v>
      </c>
      <c r="G125" s="24">
        <v>0.375</v>
      </c>
      <c r="H125" s="24">
        <v>0.625</v>
      </c>
      <c r="I125" s="4" t="str">
        <f t="shared" si="1"/>
        <v>09:00 - 15:00</v>
      </c>
      <c r="J125" s="4" t="s">
        <v>177</v>
      </c>
      <c r="K125" s="25" t="str">
        <f ca="1">IFERROR(__xludf.DUMMYFUNCTION("IF($E125="""", """", IF(OR(IFERROR(REGEXMATCH(TEXT($F125, ""dd/mm/yyyy""), SUBSTITUTE($G$2, "", "", ""|"")), FALSE), $F125=$G$4, $F125=$H$4), ""Εξέταση σε σ/κ ή αργία"", """"))"),"")</f>
        <v/>
      </c>
      <c r="L125" s="25" t="str">
        <f ca="1">IFERROR(__xludf.DUMMYFUNCTION("IFERROR(IF(ISNUMBER(SEARCH(TEXTJOIN("", "", TRUE, FILTER($E$8:$E$204, $F$8:$F$204 = F125, $J$8:$J$204 = J125, $G$8:$G$204 &lt; H125, $H$8:$H$204 &gt; G125, ROW($E$8:$E$204) &lt;&gt; ROW(E125))), #REF!)), """", TEXTJOIN("", "", TRUE, FILTER($E$8:$E$204, $F$8:$F$204 = "&amp;"F125, $J$8:$J$204 = J125, $G$8:$G$204 &lt; H125, $H$8:$H$204 &gt; G125, ROW($E$8:$E$204) &lt;&gt; ROW(E125)))), """")"),"Πρακτική Άσκηση στην Παθολογία Ζώων Συντροφιάς Ι (3η ημέρα), Ειδικη Παθολογία ΖΣ V (ΠΠΣ) (Πρακτικά) (3η ημέρα)")</f>
        <v>Πρακτική Άσκηση στην Παθολογία Ζώων Συντροφιάς Ι (3η ημέρα), Ειδικη Παθολογία ΖΣ V (ΠΠΣ) (Πρακτικά) (3η ημέρα)</v>
      </c>
      <c r="M125" s="25" t="s">
        <v>218</v>
      </c>
      <c r="N125" s="13"/>
    </row>
    <row r="126" spans="1:14" ht="45" x14ac:dyDescent="0.25">
      <c r="A126" s="21" t="s">
        <v>6</v>
      </c>
      <c r="B126" s="21" t="s">
        <v>56</v>
      </c>
      <c r="C126" s="4" t="str">
        <f t="shared" si="0"/>
        <v>5ο Έτος</v>
      </c>
      <c r="D126" s="22" t="s">
        <v>92</v>
      </c>
      <c r="E126" s="23" t="s">
        <v>219</v>
      </c>
      <c r="F126" s="14">
        <v>46279</v>
      </c>
      <c r="G126" s="24">
        <v>0.375</v>
      </c>
      <c r="H126" s="24">
        <v>0.66666666666666663</v>
      </c>
      <c r="I126" s="4" t="str">
        <f t="shared" si="1"/>
        <v>09:00 - 16:00</v>
      </c>
      <c r="J126" s="4" t="s">
        <v>177</v>
      </c>
      <c r="K126" s="25" t="str">
        <f ca="1">IFERROR(__xludf.DUMMYFUNCTION("IF($E126="""", """", IF(OR(IFERROR(REGEXMATCH(TEXT($F126, ""dd/mm/yyyy""), SUBSTITUTE($G$2, "", "", ""|"")), FALSE), $F126=$G$4, $F126=$H$4), ""Εξέταση σε σ/κ ή αργία"", """"))"),"")</f>
        <v/>
      </c>
      <c r="L126" s="25" t="str">
        <f ca="1">IFERROR(__xludf.DUMMYFUNCTION("IFERROR(IF(ISNUMBER(SEARCH(TEXTJOIN("", "", TRUE, FILTER($E$8:$E$204, $F$8:$F$204 = F126, $J$8:$J$204 = J126, $G$8:$G$204 &lt; H126, $H$8:$H$204 &gt; G126, ROW($E$8:$E$204) &lt;&gt; ROW(E126))), #REF!)), """", TEXTJOIN("", "", TRUE, FILTER($E$8:$E$204, $F$8:$F$204 = "&amp;"F126, $J$8:$J$204 = J126, $G$8:$G$204 &lt; H126, $H$8:$H$204 &gt; G126, ROW($E$8:$E$204) &lt;&gt; ROW(E126)))), """")"),"Παθολογία Παραγωγικών (ΠΠΣ) (Πρακτικά)")</f>
        <v>Παθολογία Παραγωγικών (ΠΠΣ) (Πρακτικά)</v>
      </c>
      <c r="M126" s="23" t="s">
        <v>220</v>
      </c>
      <c r="N126" s="13"/>
    </row>
    <row r="127" spans="1:14" ht="60" x14ac:dyDescent="0.25">
      <c r="A127" s="21" t="s">
        <v>6</v>
      </c>
      <c r="B127" s="21" t="s">
        <v>56</v>
      </c>
      <c r="C127" s="4" t="str">
        <f t="shared" si="0"/>
        <v>5ο Έτος</v>
      </c>
      <c r="D127" s="22" t="s">
        <v>147</v>
      </c>
      <c r="E127" s="23" t="s">
        <v>186</v>
      </c>
      <c r="F127" s="14">
        <v>46283</v>
      </c>
      <c r="G127" s="24">
        <v>0.625</v>
      </c>
      <c r="H127" s="24">
        <v>0.70833333333333337</v>
      </c>
      <c r="I127" s="4" t="str">
        <f t="shared" si="1"/>
        <v>15:00 - 17:00</v>
      </c>
      <c r="J127" s="4" t="s">
        <v>30</v>
      </c>
      <c r="K127" s="25" t="str">
        <f ca="1">IFERROR(__xludf.DUMMYFUNCTION("IF($E127="""", """", IF(OR(IFERROR(REGEXMATCH(TEXT($F127, ""dd/mm/yyyy""), SUBSTITUTE($G$2, "", "", ""|"")), FALSE), $F127=$G$4, $F127=$H$4), ""Εξέταση σε σ/κ ή αργία"", """"))"),"")</f>
        <v/>
      </c>
      <c r="L127" s="25" t="str">
        <f ca="1">IFERROR(__xludf.DUMMYFUNCTION("IFERROR(IF(ISNUMBER(SEARCH(TEXTJOIN("", "", TRUE, FILTER($E$8:$E$204, $F$8:$F$204 = F127, $J$8:$J$204 = J127, $G$8:$G$204 &lt; H127, $H$8:$H$204 &gt; G127, ROW($E$8:$E$204) &lt;&gt; ROW(E127))), #REF!)), """", TEXTJOIN("", "", TRUE, FILTER($E$8:$E$204, $F$8:$F$204 = "&amp;"F127, $J$8:$J$204 = J127, $G$8:$G$204 &lt; H127, $H$8:$H$204 &gt; G127, ROW($E$8:$E$204) &lt;&gt; ROW(E127)))), """")"),"Παθολογία Πτηνών Ι, Παθολογία Πτηνών ΙI, Πρακτική Άσκηση στην Παθολογία Πτηνών Ι")</f>
        <v>Παθολογία Πτηνών Ι, Παθολογία Πτηνών ΙI, Πρακτική Άσκηση στην Παθολογία Πτηνών Ι</v>
      </c>
      <c r="M127" s="23" t="s">
        <v>185</v>
      </c>
      <c r="N127" s="13"/>
    </row>
    <row r="128" spans="1:14" ht="30" x14ac:dyDescent="0.25">
      <c r="A128" s="21" t="s">
        <v>6</v>
      </c>
      <c r="B128" s="21" t="s">
        <v>56</v>
      </c>
      <c r="C128" s="4" t="str">
        <f t="shared" si="0"/>
        <v>5ο Έτος</v>
      </c>
      <c r="D128" s="22" t="s">
        <v>87</v>
      </c>
      <c r="E128" s="23" t="s">
        <v>221</v>
      </c>
      <c r="F128" s="14">
        <v>46273</v>
      </c>
      <c r="G128" s="24">
        <v>0.375</v>
      </c>
      <c r="H128" s="24">
        <v>0.5</v>
      </c>
      <c r="I128" s="4" t="str">
        <f t="shared" si="1"/>
        <v>09:00 - 12:00</v>
      </c>
      <c r="J128" s="4" t="s">
        <v>132</v>
      </c>
      <c r="K128" s="25" t="str">
        <f ca="1">IFERROR(__xludf.DUMMYFUNCTION("IF($E128="""", """", IF(OR(IFERROR(REGEXMATCH(TEXT($F128, ""dd/mm/yyyy""), SUBSTITUTE($G$2, "", "", ""|"")), FALSE), $F128=$G$4, $F128=$H$4), ""Εξέταση σε σ/κ ή αργία"", """"))"),"")</f>
        <v/>
      </c>
      <c r="L128" s="25" t="str">
        <f ca="1">IFERROR(__xludf.DUMMYFUNCTION("IFERROR(IF(ISNUMBER(SEARCH(TEXTJOIN("", "", TRUE, FILTER($E$8:$E$204, $F$8:$F$204 = F128, $J$8:$J$204 = J128, $G$8:$G$204 &lt; H128, $H$8:$H$204 &gt; G128, ROW($E$8:$E$204) &lt;&gt; ROW(E128))), #REF!)), """", TEXTJOIN("", "", TRUE, FILTER($E$8:$E$204, $F$8:$F$204 = "&amp;"F128, $J$8:$J$204 = J128, $G$8:$G$204 &lt; H128, $H$8:$H$204 &gt; G128, ROW($E$8:$E$204) &lt;&gt; ROW(E128)))), """")"),"Υγιεινή τροφίμων ΙΙΙ (ΠΠΣ) (Εργαστήριο)")</f>
        <v>Υγιεινή τροφίμων ΙΙΙ (ΠΠΣ) (Εργαστήριο)</v>
      </c>
      <c r="M128" s="23" t="s">
        <v>222</v>
      </c>
      <c r="N128" s="13"/>
    </row>
    <row r="129" spans="1:14" ht="30" x14ac:dyDescent="0.25">
      <c r="A129" s="21" t="s">
        <v>6</v>
      </c>
      <c r="B129" s="21" t="s">
        <v>56</v>
      </c>
      <c r="C129" s="4" t="str">
        <f t="shared" si="0"/>
        <v>5ο Έτος</v>
      </c>
      <c r="D129" s="22" t="s">
        <v>87</v>
      </c>
      <c r="E129" s="23" t="s">
        <v>223</v>
      </c>
      <c r="F129" s="14">
        <v>46272</v>
      </c>
      <c r="G129" s="24">
        <v>0.33333333333333331</v>
      </c>
      <c r="H129" s="24">
        <v>0.45833333333333331</v>
      </c>
      <c r="I129" s="4" t="str">
        <f t="shared" si="1"/>
        <v>08:00 - 11:00</v>
      </c>
      <c r="J129" s="4" t="s">
        <v>224</v>
      </c>
      <c r="K129" s="25" t="str">
        <f ca="1">IFERROR(__xludf.DUMMYFUNCTION("IF($E129="""", """", IF(OR(IFERROR(REGEXMATCH(TEXT($F129, ""dd/mm/yyyy""), SUBSTITUTE($G$2, "", "", ""|"")), FALSE), $F129=$G$4, $F129=$H$4), ""Εξέταση σε σ/κ ή αργία"", """"))"),"")</f>
        <v/>
      </c>
      <c r="L129" s="25" t="str">
        <f ca="1">IFERROR(__xludf.DUMMYFUNCTION("IFERROR(IF(ISNUMBER(SEARCH(TEXTJOIN("", "", TRUE, FILTER($E$8:$E$204, $F$8:$F$204 = F129, $J$8:$J$204 = J129, $G$8:$G$204 &lt; H129, $H$8:$H$204 &gt; G129, ROW($E$8:$E$204) &lt;&gt; ROW(E129))), #REF!)), """", TEXTJOIN("", "", TRUE, FILTER($E$8:$E$204, $F$8:$F$204 = "&amp;"F129, $J$8:$J$204 = J129, $G$8:$G$204 &lt; H129, $H$8:$H$204 &gt; G129, ROW($E$8:$E$204) &lt;&gt; ROW(E129)))), """")"),"Υγιεινή τροφίμων ΙΙΙ (ΠΠΣ) (Σφαγείο)")</f>
        <v>Υγιεινή τροφίμων ΙΙΙ (ΠΠΣ) (Σφαγείο)</v>
      </c>
      <c r="M129" s="23" t="s">
        <v>225</v>
      </c>
      <c r="N129" s="13"/>
    </row>
    <row r="130" spans="1:14" ht="45" x14ac:dyDescent="0.25">
      <c r="A130" s="21" t="s">
        <v>6</v>
      </c>
      <c r="B130" s="21" t="s">
        <v>56</v>
      </c>
      <c r="C130" s="4" t="str">
        <f t="shared" si="0"/>
        <v>5ο Έτος</v>
      </c>
      <c r="D130" s="22"/>
      <c r="E130" s="23" t="s">
        <v>226</v>
      </c>
      <c r="F130" s="14">
        <v>46268</v>
      </c>
      <c r="G130" s="24">
        <v>0.75</v>
      </c>
      <c r="H130" s="24">
        <v>0.875</v>
      </c>
      <c r="I130" s="4" t="str">
        <f t="shared" si="1"/>
        <v>18:00 - 21:00</v>
      </c>
      <c r="J130" s="4" t="s">
        <v>30</v>
      </c>
      <c r="K130" s="25" t="str">
        <f ca="1">IFERROR(__xludf.DUMMYFUNCTION("IF($E130="""", """", IF(OR(IFERROR(REGEXMATCH(TEXT($F130, ""dd/mm/yyyy""), SUBSTITUTE($G$2, "", "", ""|"")), FALSE), $F130=$G$4, $F130=$H$4), ""Εξέταση σε σ/κ ή αργία"", """"))"),"")</f>
        <v/>
      </c>
      <c r="L130" s="25" t="str">
        <f ca="1">IFERROR(__xludf.DUMMYFUNCTION("IFERROR(IF(ISNUMBER(SEARCH(TEXTJOIN("", "", TRUE, FILTER($E$8:$E$204, $F$8:$F$204 = F130, $J$8:$J$204 = J130, $G$8:$G$204 &lt; H130, $H$8:$H$204 &gt; G130, ROW($E$8:$E$204) &lt;&gt; ROW(E130))), #REF!)), """", TEXTJOIN("", "", TRUE, FILTER($E$8:$E$204, $F$8:$F$204 = "&amp;"F130, $J$8:$J$204 = J130, $G$8:$G$204 &lt; H130, $H$8:$H$204 &gt; G130, ROW($E$8:$E$204) &lt;&gt; ROW(E130)))), """")"),"")</f>
        <v/>
      </c>
      <c r="M130" s="23"/>
      <c r="N130" s="13"/>
    </row>
    <row r="131" spans="1:14" ht="60" x14ac:dyDescent="0.25">
      <c r="A131" s="21" t="s">
        <v>6</v>
      </c>
      <c r="B131" s="21" t="s">
        <v>56</v>
      </c>
      <c r="C131" s="4" t="str">
        <f t="shared" si="0"/>
        <v>5ο Έτος</v>
      </c>
      <c r="D131" s="22" t="s">
        <v>107</v>
      </c>
      <c r="E131" s="23" t="s">
        <v>227</v>
      </c>
      <c r="F131" s="14">
        <v>46279</v>
      </c>
      <c r="G131" s="24">
        <v>0.66666666666666663</v>
      </c>
      <c r="H131" s="24">
        <v>0.75</v>
      </c>
      <c r="I131" s="4" t="str">
        <f t="shared" si="1"/>
        <v>16:00 - 18:00</v>
      </c>
      <c r="J131" s="4" t="s">
        <v>39</v>
      </c>
      <c r="K131" s="25" t="str">
        <f ca="1">IFERROR(__xludf.DUMMYFUNCTION("IF($E131="""", """", IF(OR(IFERROR(REGEXMATCH(TEXT($F131, ""dd/mm/yyyy""), SUBSTITUTE($G$2, "", "", ""|"")), FALSE), $F131=$G$4, $F131=$H$4), ""Εξέταση σε σ/κ ή αργία"", """"))"),"")</f>
        <v/>
      </c>
      <c r="L131" s="25" t="str">
        <f ca="1">IFERROR(__xludf.DUMMYFUNCTION("IFERROR(IF(ISNUMBER(SEARCH(TEXTJOIN("", "", TRUE, FILTER($E$8:$E$204, $F$8:$F$204 = F131, $J$8:$J$204 = J131, $G$8:$G$204 &lt; H131, $H$8:$H$204 &gt; G131, ROW($E$8:$E$204) &lt;&gt; ROW(E131))), #REF!)), """", TEXTJOIN("", "", TRUE, FILTER($E$8:$E$204, $F$8:$F$204 = "&amp;"F131, $J$8:$J$204 = J131, $G$8:$G$204 &lt; H131, $H$8:$H$204 &gt; G131, ROW($E$8:$E$204) &lt;&gt; ROW(E131)))), """")"),"Παθολογία Παραγωγικών Ζώων ΙΙΙ, Παθολογία Παραγωγικών Ζώων ΙV")</f>
        <v>Παθολογία Παραγωγικών Ζώων ΙΙΙ, Παθολογία Παραγωγικών Ζώων ΙV</v>
      </c>
      <c r="M131" s="23"/>
      <c r="N131" s="13"/>
    </row>
    <row r="132" spans="1:14" ht="45" x14ac:dyDescent="0.25">
      <c r="A132" s="21" t="s">
        <v>6</v>
      </c>
      <c r="B132" s="21" t="s">
        <v>56</v>
      </c>
      <c r="C132" s="4" t="str">
        <f t="shared" si="0"/>
        <v>5ο Έτος</v>
      </c>
      <c r="D132" s="22" t="s">
        <v>107</v>
      </c>
      <c r="E132" s="23" t="s">
        <v>228</v>
      </c>
      <c r="F132" s="14">
        <v>46279</v>
      </c>
      <c r="G132" s="24">
        <v>0.79166666666666663</v>
      </c>
      <c r="H132" s="24">
        <v>0.83333333333333337</v>
      </c>
      <c r="I132" s="4" t="str">
        <f t="shared" si="1"/>
        <v>19:00 - 20:00</v>
      </c>
      <c r="J132" s="4" t="s">
        <v>85</v>
      </c>
      <c r="K132" s="25" t="str">
        <f ca="1">IFERROR(__xludf.DUMMYFUNCTION("IF($E132="""", """", IF(OR(IFERROR(REGEXMATCH(TEXT($F132, ""dd/mm/yyyy""), SUBSTITUTE($G$2, "", "", ""|"")), FALSE), $F132=$G$4, $F132=$H$4), ""Εξέταση σε σ/κ ή αργία"", """"))"),"")</f>
        <v/>
      </c>
      <c r="L132" s="25" t="str">
        <f ca="1">IFERROR(__xludf.DUMMYFUNCTION("IFERROR(IF(ISNUMBER(SEARCH(TEXTJOIN("", "", TRUE, FILTER($E$8:$E$204, $F$8:$F$204 = F132, $J$8:$J$204 = J132, $G$8:$G$204 &lt; H132, $H$8:$H$204 &gt; G132, ROW($E$8:$E$204) &lt;&gt; ROW(E132))), #REF!)), """", TEXTJOIN("", "", TRUE, FILTER($E$8:$E$204, $F$8:$F$204 = "&amp;"F132, $J$8:$J$204 = J132, $G$8:$G$204 &lt; H132, $H$8:$H$204 &gt; G132, ROW($E$8:$E$204) &lt;&gt; ROW(E132)))), """")"),"")</f>
        <v/>
      </c>
      <c r="M132" s="23"/>
      <c r="N132" s="13"/>
    </row>
    <row r="133" spans="1:14" ht="30" x14ac:dyDescent="0.25">
      <c r="A133" s="21" t="s">
        <v>6</v>
      </c>
      <c r="B133" s="21" t="s">
        <v>56</v>
      </c>
      <c r="C133" s="4" t="str">
        <f t="shared" si="0"/>
        <v>5ο Έτος</v>
      </c>
      <c r="D133" s="22" t="s">
        <v>83</v>
      </c>
      <c r="E133" s="23" t="s">
        <v>229</v>
      </c>
      <c r="F133" s="14">
        <v>46265</v>
      </c>
      <c r="G133" s="24">
        <v>0.75</v>
      </c>
      <c r="H133" s="24">
        <v>0.875</v>
      </c>
      <c r="I133" s="4" t="str">
        <f t="shared" si="1"/>
        <v>18:00 - 21:00</v>
      </c>
      <c r="J133" s="4" t="s">
        <v>85</v>
      </c>
      <c r="K133" s="25" t="str">
        <f ca="1">IFERROR(__xludf.DUMMYFUNCTION("IF($E133="""", """", IF(OR(IFERROR(REGEXMATCH(TEXT($F133, ""dd/mm/yyyy""), SUBSTITUTE($G$2, "", "", ""|"")), FALSE), $F133=$G$4, $F133=$H$4), ""Εξέταση σε σ/κ ή αργία"", """"))"),"")</f>
        <v/>
      </c>
      <c r="L133" s="25" t="str">
        <f ca="1">IFERROR(__xludf.DUMMYFUNCTION("IFERROR(IF(ISNUMBER(SEARCH(TEXTJOIN("", "", TRUE, FILTER($E$8:$E$204, $F$8:$F$204 = F133, $J$8:$J$204 = J133, $G$8:$G$204 &lt; H133, $H$8:$H$204 &gt; G133, ROW($E$8:$E$204) &lt;&gt; ROW(E133))), #REF!)), """", TEXTJOIN("", "", TRUE, FILTER($E$8:$E$204, $F$8:$F$204 = "&amp;"F133, $J$8:$J$204 = J133, $G$8:$G$204 &lt; H133, $H$8:$H$204 &gt; G133, ROW($E$8:$E$204) &lt;&gt; ROW(E133)))), """")"),"")</f>
        <v/>
      </c>
      <c r="M133" s="23"/>
      <c r="N133" s="13"/>
    </row>
    <row r="134" spans="1:14" ht="30" x14ac:dyDescent="0.25">
      <c r="A134" s="21" t="s">
        <v>6</v>
      </c>
      <c r="B134" s="21" t="s">
        <v>56</v>
      </c>
      <c r="C134" s="4" t="str">
        <f t="shared" si="0"/>
        <v>5ο Έτος</v>
      </c>
      <c r="D134" s="22" t="s">
        <v>87</v>
      </c>
      <c r="E134" s="23" t="s">
        <v>230</v>
      </c>
      <c r="F134" s="14">
        <v>46272</v>
      </c>
      <c r="G134" s="24">
        <v>0.66666666666666663</v>
      </c>
      <c r="H134" s="24">
        <v>0.70833333333333337</v>
      </c>
      <c r="I134" s="4" t="str">
        <f t="shared" si="1"/>
        <v>16:00 - 17:00</v>
      </c>
      <c r="J134" s="4" t="s">
        <v>188</v>
      </c>
      <c r="K134" s="25" t="str">
        <f ca="1">IFERROR(__xludf.DUMMYFUNCTION("IF($E134="""", """", IF(OR(IFERROR(REGEXMATCH(TEXT($F134, ""dd/mm/yyyy""), SUBSTITUTE($G$2, "", "", ""|"")), FALSE), $F134=$G$4, $F134=$H$4), ""Εξέταση σε σ/κ ή αργία"", """"))"),"")</f>
        <v/>
      </c>
      <c r="L134" s="25" t="str">
        <f ca="1">IFERROR(__xludf.DUMMYFUNCTION("IFERROR(IF(ISNUMBER(SEARCH(TEXTJOIN("", "", TRUE, FILTER($E$8:$E$204, $F$8:$F$204 = F134, $J$8:$J$204 = J134, $G$8:$G$204 &lt; H134, $H$8:$H$204 &gt; G134, ROW($E$8:$E$204) &lt;&gt; ROW(E134))), #REF!)), """", TEXTJOIN("", "", TRUE, FILTER($E$8:$E$204, $F$8:$F$204 = "&amp;"F134, $J$8:$J$204 = J134, $G$8:$G$204 &lt; H134, $H$8:$H$204 &gt; G134, ROW($E$8:$E$204) &lt;&gt; ROW(E134)))), """")"),"Πρακτική Άσκηση στην Υγιεινή Τροφίμων Ι")</f>
        <v>Πρακτική Άσκηση στην Υγιεινή Τροφίμων Ι</v>
      </c>
      <c r="M134" s="23"/>
      <c r="N134" s="13"/>
    </row>
    <row r="135" spans="1:14" ht="105" x14ac:dyDescent="0.25">
      <c r="A135" s="21" t="s">
        <v>6</v>
      </c>
      <c r="B135" s="21" t="s">
        <v>56</v>
      </c>
      <c r="C135" s="4" t="str">
        <f t="shared" si="0"/>
        <v>5ο Έτος</v>
      </c>
      <c r="D135" s="22" t="s">
        <v>115</v>
      </c>
      <c r="E135" s="23" t="s">
        <v>231</v>
      </c>
      <c r="F135" s="14">
        <v>46281</v>
      </c>
      <c r="G135" s="24">
        <v>0.75</v>
      </c>
      <c r="H135" s="24">
        <v>0.875</v>
      </c>
      <c r="I135" s="4" t="str">
        <f t="shared" si="1"/>
        <v>18:00 - 21:00</v>
      </c>
      <c r="J135" s="4" t="s">
        <v>188</v>
      </c>
      <c r="K135" s="25" t="str">
        <f ca="1">IFERROR(__xludf.DUMMYFUNCTION("IF($E135="""", """", IF(OR(IFERROR(REGEXMATCH(TEXT($F135, ""dd/mm/yyyy""), SUBSTITUTE($G$2, "", "", ""|"")), FALSE), $F135=$G$4, $F135=$H$4), ""Εξέταση σε σ/κ ή αργία"", """"))"),"")</f>
        <v/>
      </c>
      <c r="L135" s="25" t="str">
        <f ca="1">IFERROR(__xludf.DUMMYFUNCTION("IFERROR(IF(ISNUMBER(SEARCH(TEXTJOIN("", "", TRUE, FILTER($E$8:$E$204, $F$8:$F$204 = F135, $J$8:$J$204 = J135, $G$8:$G$204 &lt; H135, $H$8:$H$204 &gt; G135, ROW($E$8:$E$204) &lt;&gt; ROW(E135))), #REF!)), """", TEXTJOIN("", "", TRUE, FILTER($E$8:$E$204, $F$8:$F$204 = "&amp;"F135, $J$8:$J$204 = J135, $G$8:$G$204 &lt; H135, $H$8:$H$204 &gt; G135, ROW($E$8:$E$204) &lt;&gt; ROW(E135)))), """")"),"Εξειδικευμένα Μαθήματα Παθολογίας της Γάτας, Εφαρμογή Καινοτόμων Ιδεών &amp; Τεχνολογιών στη Χοιροτροφία &amp; Πτηνοτροφία")</f>
        <v>Εξειδικευμένα Μαθήματα Παθολογίας της Γάτας, Εφαρμογή Καινοτόμων Ιδεών &amp; Τεχνολογιών στη Χοιροτροφία &amp; Πτηνοτροφία</v>
      </c>
      <c r="M135" s="23"/>
      <c r="N135" s="13"/>
    </row>
    <row r="136" spans="1:14" ht="30" x14ac:dyDescent="0.25">
      <c r="A136" s="21" t="s">
        <v>232</v>
      </c>
      <c r="B136" s="21" t="s">
        <v>232</v>
      </c>
      <c r="C136" s="4" t="str">
        <f t="shared" si="0"/>
        <v>Επί Πτυχίω</v>
      </c>
      <c r="D136" s="22" t="s">
        <v>35</v>
      </c>
      <c r="E136" s="23" t="s">
        <v>37</v>
      </c>
      <c r="F136" s="14">
        <f t="shared" ref="F136:H136" si="2">F11</f>
        <v>46266</v>
      </c>
      <c r="G136" s="26">
        <f t="shared" si="2"/>
        <v>0.375</v>
      </c>
      <c r="H136" s="24">
        <f t="shared" si="2"/>
        <v>0.45833333333333331</v>
      </c>
      <c r="I136" s="4" t="str">
        <f t="shared" si="1"/>
        <v>09:00 - 11:00</v>
      </c>
      <c r="J136" s="4" t="str">
        <f>J11</f>
        <v>Νέες Αίθουσες</v>
      </c>
      <c r="K136" s="25" t="str">
        <f ca="1">IFERROR(__xludf.DUMMYFUNCTION("IF($E136="""", """", IF(OR(IFERROR(REGEXMATCH(TEXT($F136, ""dd/mm/yyyy""), SUBSTITUTE($G$2, "", "", ""|"")), FALSE), $F136=$G$4, $F136=$H$4), ""Εξέταση σε σ/κ ή αργία"", """"))"),"")</f>
        <v/>
      </c>
      <c r="L136" s="25" t="str">
        <f ca="1">IFERROR(__xludf.DUMMYFUNCTION("IFERROR(IF(ISNUMBER(SEARCH(TEXTJOIN("", "", TRUE, FILTER($E$8:$E$204, $F$8:$F$204 = F136, $J$8:$J$204 = J136, $G$8:$G$204 &lt; H136, $H$8:$H$204 &gt; G136, ROW($E$8:$E$204) &lt;&gt; ROW(E136))), #REF!)), """", TEXTJOIN("", "", TRUE, FILTER($E$8:$E$204, $F$8:$F$204 = "&amp;"F136, $J$8:$J$204 = J136, $G$8:$G$204 &lt; H136, $H$8:$H$204 &gt; G136, ROW($E$8:$E$204) &lt;&gt; ROW(E136)))), """")"),"Γενικές Αρχές Βιοχημείας")</f>
        <v>Γενικές Αρχές Βιοχημείας</v>
      </c>
      <c r="M136" s="23" t="s">
        <v>36</v>
      </c>
      <c r="N136" s="13"/>
    </row>
    <row r="137" spans="1:14" ht="30" x14ac:dyDescent="0.25">
      <c r="A137" s="21" t="s">
        <v>232</v>
      </c>
      <c r="B137" s="21" t="s">
        <v>232</v>
      </c>
      <c r="C137" s="4" t="str">
        <f t="shared" si="0"/>
        <v>Επί Πτυχίω</v>
      </c>
      <c r="D137" s="22" t="s">
        <v>35</v>
      </c>
      <c r="E137" s="23" t="s">
        <v>58</v>
      </c>
      <c r="F137" s="14">
        <f t="shared" ref="F137:H137" si="3">F22</f>
        <v>46269</v>
      </c>
      <c r="G137" s="24">
        <f t="shared" si="3"/>
        <v>0.375</v>
      </c>
      <c r="H137" s="24">
        <f t="shared" si="3"/>
        <v>0.45833333333333331</v>
      </c>
      <c r="I137" s="4" t="str">
        <f t="shared" si="1"/>
        <v>09:00 - 11:00</v>
      </c>
      <c r="J137" s="4" t="str">
        <f>J22</f>
        <v>Νέες Αίθουσες</v>
      </c>
      <c r="K137" s="25" t="str">
        <f ca="1">IFERROR(__xludf.DUMMYFUNCTION("IF($E137="""", """", IF(OR(IFERROR(REGEXMATCH(TEXT($F137, ""dd/mm/yyyy""), SUBSTITUTE($G$2, "", "", ""|"")), FALSE), $F137=$G$4, $F137=$H$4), ""Εξέταση σε σ/κ ή αργία"", """"))"),"")</f>
        <v/>
      </c>
      <c r="L137" s="25" t="str">
        <f ca="1">IFERROR(__xludf.DUMMYFUNCTION("IFERROR(IF(ISNUMBER(SEARCH(TEXTJOIN("", "", TRUE, FILTER($E$8:$E$204, $F$8:$F$204 = F137, $J$8:$J$204 = J137, $G$8:$G$204 &lt; H137, $H$8:$H$204 &gt; G137, ROW($E$8:$E$204) &lt;&gt; ROW(E137))), #REF!)), """", TEXTJOIN("", "", TRUE, FILTER($E$8:$E$204, $F$8:$F$204 = "&amp;"F137, $J$8:$J$204 = J137, $G$8:$G$204 &lt; H137, $H$8:$H$204 &gt; G137, ROW($E$8:$E$204) &lt;&gt; ROW(E137)))), """")"),"Βιοχημεία του Μεταβολισμού")</f>
        <v>Βιοχημεία του Μεταβολισμού</v>
      </c>
      <c r="M137" s="23" t="s">
        <v>57</v>
      </c>
      <c r="N137" s="13"/>
    </row>
    <row r="138" spans="1:14" ht="45" x14ac:dyDescent="0.25">
      <c r="A138" s="21" t="s">
        <v>232</v>
      </c>
      <c r="B138" s="21" t="s">
        <v>232</v>
      </c>
      <c r="C138" s="4" t="str">
        <f t="shared" si="0"/>
        <v>Επί Πτυχίω</v>
      </c>
      <c r="D138" s="22" t="s">
        <v>32</v>
      </c>
      <c r="E138" s="23" t="s">
        <v>40</v>
      </c>
      <c r="F138" s="14">
        <f t="shared" ref="F138:H138" si="4">F12</f>
        <v>46274</v>
      </c>
      <c r="G138" s="24">
        <f t="shared" si="4"/>
        <v>0.625</v>
      </c>
      <c r="H138" s="24">
        <f t="shared" si="4"/>
        <v>0.75</v>
      </c>
      <c r="I138" s="4" t="str">
        <f t="shared" si="1"/>
        <v>15:00 - 18:00</v>
      </c>
      <c r="J138" s="4" t="str">
        <f>J12</f>
        <v>Αμφιθέατρα</v>
      </c>
      <c r="K138" s="25" t="str">
        <f ca="1">IFERROR(__xludf.DUMMYFUNCTION("IF($E138="""", """", IF(OR(IFERROR(REGEXMATCH(TEXT($F138, ""dd/mm/yyyy""), SUBSTITUTE($G$2, "", "", ""|"")), FALSE), $F138=$G$4, $F138=$H$4), ""Εξέταση σε σ/κ ή αργία"", """"))"),"")</f>
        <v/>
      </c>
      <c r="L138" s="25" t="str">
        <f ca="1">IFERROR(__xludf.DUMMYFUNCTION("IFERROR(IF(ISNUMBER(SEARCH(TEXTJOIN("", "", TRUE, FILTER($E$8:$E$204, $F$8:$F$204 = F138, $J$8:$J$204 = J138, $G$8:$G$204 &lt; H138, $H$8:$H$204 &gt; G138, ROW($E$8:$E$204) &lt;&gt; ROW(E138))), #REF!)), """", TEXTJOIN("", "", TRUE, FILTER($E$8:$E$204, $F$8:$F$204 = "&amp;"F138, $J$8:$J$204 = J138, $G$8:$G$204 &lt; H138, $H$8:$H$204 &gt; G138, ROW($E$8:$E$204) &lt;&gt; ROW(E138)))), """")"),"Διατροφή των Ζώων &amp; Στοιχεία Βιολογίας Φυτών (Θεωρία)")</f>
        <v>Διατροφή των Ζώων &amp; Στοιχεία Βιολογίας Φυτών (Θεωρία)</v>
      </c>
      <c r="M138" s="23" t="s">
        <v>38</v>
      </c>
      <c r="N138" s="13"/>
    </row>
    <row r="139" spans="1:14" ht="90" x14ac:dyDescent="0.25">
      <c r="A139" s="21" t="s">
        <v>232</v>
      </c>
      <c r="B139" s="21" t="s">
        <v>232</v>
      </c>
      <c r="C139" s="4" t="str">
        <f t="shared" si="0"/>
        <v>Επί Πτυχίω</v>
      </c>
      <c r="D139" s="22" t="s">
        <v>32</v>
      </c>
      <c r="E139" s="23" t="s">
        <v>233</v>
      </c>
      <c r="F139" s="14">
        <f t="shared" ref="F139:H139" si="5">F14</f>
        <v>46268</v>
      </c>
      <c r="G139" s="24">
        <f t="shared" si="5"/>
        <v>0.625</v>
      </c>
      <c r="H139" s="24">
        <f t="shared" si="5"/>
        <v>0.75</v>
      </c>
      <c r="I139" s="4" t="str">
        <f t="shared" si="1"/>
        <v>15:00 - 18:00</v>
      </c>
      <c r="J139" s="4" t="str">
        <f t="shared" ref="J139:J141" si="6">J14</f>
        <v>Αμφιθέατρα</v>
      </c>
      <c r="K139" s="25" t="str">
        <f ca="1">IFERROR(__xludf.DUMMYFUNCTION("IF($E139="""", """", IF(OR(IFERROR(REGEXMATCH(TEXT($F139, ""dd/mm/yyyy""), SUBSTITUTE($G$2, "", "", ""|"")), FALSE), $F139=$G$4, $F139=$H$4), ""Εξέταση σε σ/κ ή αργία"", """"))"),"")</f>
        <v/>
      </c>
      <c r="L139" s="25" t="str">
        <f ca="1">IFERROR(__xludf.DUMMYFUNCTION("IFERROR(IF(ISNUMBER(SEARCH(TEXTJOIN("", "", TRUE, FILTER($E$8:$E$204, $F$8:$F$204 = F139, $J$8:$J$204 = J139, $G$8:$G$204 &lt; H139, $H$8:$H$204 &gt; G139, ROW($E$8:$E$204) &lt;&gt; ROW(E139))), #REF!)), """", TEXTJOIN("", "", TRUE, FILTER($E$8:$E$204, $F$8:$F$204 = "&amp;"F139, $J$8:$J$204 = J139, $G$8:$G$204 &lt; H139, $H$8:$H$204 &gt; G139, ROW($E$8:$E$204) &lt;&gt; ROW(E139)))), """")"),"Ζωοτεχνία, Ηθολογία, Ευζωΐα &amp; Σχετική Νομοθεσία Ι, Ζωοτεχνία, Ηθολογία, Ευζωΐα &amp; Σχετική Νομοθεσία ΙΙ")</f>
        <v>Ζωοτεχνία, Ηθολογία, Ευζωΐα &amp; Σχετική Νομοθεσία Ι, Ζωοτεχνία, Ηθολογία, Ευζωΐα &amp; Σχετική Νομοθεσία ΙΙ</v>
      </c>
      <c r="M139" s="23" t="s">
        <v>234</v>
      </c>
      <c r="N139" s="13"/>
    </row>
    <row r="140" spans="1:14" ht="30" x14ac:dyDescent="0.25">
      <c r="A140" s="21" t="s">
        <v>232</v>
      </c>
      <c r="B140" s="21" t="s">
        <v>232</v>
      </c>
      <c r="C140" s="4" t="str">
        <f t="shared" si="0"/>
        <v>Επί Πτυχίω</v>
      </c>
      <c r="D140" s="22" t="s">
        <v>44</v>
      </c>
      <c r="E140" s="23" t="s">
        <v>46</v>
      </c>
      <c r="F140" s="14">
        <f t="shared" ref="F140:H140" si="7">F15</f>
        <v>46275</v>
      </c>
      <c r="G140" s="24">
        <f t="shared" si="7"/>
        <v>0.625</v>
      </c>
      <c r="H140" s="24">
        <f t="shared" si="7"/>
        <v>0.70833333333333337</v>
      </c>
      <c r="I140" s="4" t="str">
        <f t="shared" si="1"/>
        <v>15:00 - 17:00</v>
      </c>
      <c r="J140" s="4" t="str">
        <f t="shared" si="6"/>
        <v>Αμφιθέατρα</v>
      </c>
      <c r="K140" s="25" t="str">
        <f ca="1">IFERROR(__xludf.DUMMYFUNCTION("IF($E140="""", """", IF(OR(IFERROR(REGEXMATCH(TEXT($F140, ""dd/mm/yyyy""), SUBSTITUTE($G$2, "", "", ""|"")), FALSE), $F140=$G$4, $F140=$H$4), ""Εξέταση σε σ/κ ή αργία"", """"))"),"")</f>
        <v/>
      </c>
      <c r="L140" s="25" t="str">
        <f ca="1">IFERROR(__xludf.DUMMYFUNCTION("IFERROR(IF(ISNUMBER(SEARCH(TEXTJOIN("", "", TRUE, FILTER($E$8:$E$204, $F$8:$F$204 = F140, $J$8:$J$204 = J140, $G$8:$G$204 &lt; H140, $H$8:$H$204 &gt; G140, ROW($E$8:$E$204) &lt;&gt; ROW(E140))), #REF!)), """", TEXTJOIN("", "", TRUE, FILTER($E$8:$E$204, $F$8:$F$204 = "&amp;"F140, $J$8:$J$204 = J140, $G$8:$G$204 &lt; H140, $H$8:$H$204 &gt; G140, ROW($E$8:$E$204) &lt;&gt; ROW(E140)))), """")"),"Μακροσκοπική Ανατομική Ι (Θεωρία)")</f>
        <v>Μακροσκοπική Ανατομική Ι (Θεωρία)</v>
      </c>
      <c r="M140" s="23" t="s">
        <v>235</v>
      </c>
      <c r="N140" s="13"/>
    </row>
    <row r="141" spans="1:14" ht="30" x14ac:dyDescent="0.25">
      <c r="A141" s="21" t="s">
        <v>232</v>
      </c>
      <c r="B141" s="21" t="s">
        <v>232</v>
      </c>
      <c r="C141" s="4" t="str">
        <f t="shared" si="0"/>
        <v>Επί Πτυχίω</v>
      </c>
      <c r="D141" s="22" t="s">
        <v>44</v>
      </c>
      <c r="E141" s="23" t="s">
        <v>49</v>
      </c>
      <c r="F141" s="14">
        <f t="shared" ref="F141:H141" si="8">F16</f>
        <v>46274</v>
      </c>
      <c r="G141" s="24">
        <f t="shared" si="8"/>
        <v>0.375</v>
      </c>
      <c r="H141" s="24">
        <f t="shared" si="8"/>
        <v>0.5</v>
      </c>
      <c r="I141" s="4" t="str">
        <f t="shared" si="1"/>
        <v>09:00 - 12:00</v>
      </c>
      <c r="J141" s="4" t="str">
        <f t="shared" si="6"/>
        <v>Ανατομείο</v>
      </c>
      <c r="K141" s="25" t="str">
        <f ca="1">IFERROR(__xludf.DUMMYFUNCTION("IF($E141="""", """", IF(OR(IFERROR(REGEXMATCH(TEXT($F141, ""dd/mm/yyyy""), SUBSTITUTE($G$2, "", "", ""|"")), FALSE), $F141=$G$4, $F141=$H$4), ""Εξέταση σε σ/κ ή αργία"", """"))"),"")</f>
        <v/>
      </c>
      <c r="L141" s="25" t="str">
        <f ca="1">IFERROR(__xludf.DUMMYFUNCTION("IFERROR(IF(ISNUMBER(SEARCH(TEXTJOIN("", "", TRUE, FILTER($E$8:$E$204, $F$8:$F$204 = F141, $J$8:$J$204 = J141, $G$8:$G$204 &lt; H141, $H$8:$H$204 &gt; G141, ROW($E$8:$E$204) &lt;&gt; ROW(E141))), #REF!)), """", TEXTJOIN("", "", TRUE, FILTER($E$8:$E$204, $F$8:$F$204 = "&amp;"F141, $J$8:$J$204 = J141, $G$8:$G$204 &lt; H141, $H$8:$H$204 &gt; G141, ROW($E$8:$E$204) &lt;&gt; ROW(E141)))), """")"),"Μακροσκοπική Ανατομική Ι (Πρακτικά)")</f>
        <v>Μακροσκοπική Ανατομική Ι (Πρακτικά)</v>
      </c>
      <c r="M141" s="23" t="s">
        <v>236</v>
      </c>
      <c r="N141" s="13"/>
    </row>
    <row r="142" spans="1:14" ht="30" x14ac:dyDescent="0.25">
      <c r="A142" s="21" t="s">
        <v>232</v>
      </c>
      <c r="B142" s="21" t="s">
        <v>232</v>
      </c>
      <c r="C142" s="4" t="str">
        <f t="shared" si="0"/>
        <v>Επί Πτυχίω</v>
      </c>
      <c r="D142" s="22" t="s">
        <v>44</v>
      </c>
      <c r="E142" s="23" t="s">
        <v>62</v>
      </c>
      <c r="F142" s="14">
        <f t="shared" ref="F142:H142" si="9">F24</f>
        <v>46273</v>
      </c>
      <c r="G142" s="24">
        <f t="shared" si="9"/>
        <v>0.625</v>
      </c>
      <c r="H142" s="24">
        <f t="shared" si="9"/>
        <v>0.70833333333333337</v>
      </c>
      <c r="I142" s="4" t="str">
        <f t="shared" si="1"/>
        <v>15:00 - 17:00</v>
      </c>
      <c r="J142" s="4" t="str">
        <f t="shared" ref="J142:J143" si="10">J24</f>
        <v>Αμφιθέατρα</v>
      </c>
      <c r="K142" s="25" t="str">
        <f ca="1">IFERROR(__xludf.DUMMYFUNCTION("IF($E142="""", """", IF(OR(IFERROR(REGEXMATCH(TEXT($F142, ""dd/mm/yyyy""), SUBSTITUTE($G$2, "", "", ""|"")), FALSE), $F142=$G$4, $F142=$H$4), ""Εξέταση σε σ/κ ή αργία"", """"))"),"")</f>
        <v/>
      </c>
      <c r="L142" s="25" t="str">
        <f ca="1">IFERROR(__xludf.DUMMYFUNCTION("IFERROR(IF(ISNUMBER(SEARCH(TEXTJOIN("", "", TRUE, FILTER($E$8:$E$204, $F$8:$F$204 = F142, $J$8:$J$204 = J142, $G$8:$G$204 &lt; H142, $H$8:$H$204 &gt; G142, ROW($E$8:$E$204) &lt;&gt; ROW(E142))), #REF!)), """", TEXTJOIN("", "", TRUE, FILTER($E$8:$E$204, $F$8:$F$204 = "&amp;"F142, $J$8:$J$204 = J142, $G$8:$G$204 &lt; H142, $H$8:$H$204 &gt; G142, ROW($E$8:$E$204) &lt;&gt; ROW(E142)))), """")"),"Μακροσκοπική Ανατομική ΙΙ (Θεωρία)")</f>
        <v>Μακροσκοπική Ανατομική ΙΙ (Θεωρία)</v>
      </c>
      <c r="M142" s="23" t="s">
        <v>237</v>
      </c>
      <c r="N142" s="13"/>
    </row>
    <row r="143" spans="1:14" ht="30" x14ac:dyDescent="0.25">
      <c r="A143" s="21" t="s">
        <v>232</v>
      </c>
      <c r="B143" s="21" t="s">
        <v>232</v>
      </c>
      <c r="C143" s="4" t="str">
        <f t="shared" si="0"/>
        <v>Επί Πτυχίω</v>
      </c>
      <c r="D143" s="22" t="s">
        <v>44</v>
      </c>
      <c r="E143" s="23" t="s">
        <v>64</v>
      </c>
      <c r="F143" s="14">
        <f t="shared" ref="F143:H143" si="11">F25</f>
        <v>46273</v>
      </c>
      <c r="G143" s="24">
        <f t="shared" si="11"/>
        <v>0.375</v>
      </c>
      <c r="H143" s="24">
        <f t="shared" si="11"/>
        <v>0.5</v>
      </c>
      <c r="I143" s="4" t="str">
        <f t="shared" si="1"/>
        <v>09:00 - 12:00</v>
      </c>
      <c r="J143" s="4" t="str">
        <f t="shared" si="10"/>
        <v>Ανατομείο</v>
      </c>
      <c r="K143" s="25" t="str">
        <f ca="1">IFERROR(__xludf.DUMMYFUNCTION("IF($E143="""", """", IF(OR(IFERROR(REGEXMATCH(TEXT($F143, ""dd/mm/yyyy""), SUBSTITUTE($G$2, "", "", ""|"")), FALSE), $F143=$G$4, $F143=$H$4), ""Εξέταση σε σ/κ ή αργία"", """"))"),"")</f>
        <v/>
      </c>
      <c r="L143" s="25" t="str">
        <f ca="1">IFERROR(__xludf.DUMMYFUNCTION("IFERROR(IF(ISNUMBER(SEARCH(TEXTJOIN("", "", TRUE, FILTER($E$8:$E$204, $F$8:$F$204 = F143, $J$8:$J$204 = J143, $G$8:$G$204 &lt; H143, $H$8:$H$204 &gt; G143, ROW($E$8:$E$204) &lt;&gt; ROW(E143))), #REF!)), """", TEXTJOIN("", "", TRUE, FILTER($E$8:$E$204, $F$8:$F$204 = "&amp;"F143, $J$8:$J$204 = J143, $G$8:$G$204 &lt; H143, $H$8:$H$204 &gt; G143, ROW($E$8:$E$204) &lt;&gt; ROW(E143)))), """")"),"Μακροσκοπική Ανατομική ΙΙ (Πρακτικά)")</f>
        <v>Μακροσκοπική Ανατομική ΙΙ (Πρακτικά)</v>
      </c>
      <c r="M143" s="23" t="s">
        <v>238</v>
      </c>
      <c r="N143" s="13"/>
    </row>
    <row r="144" spans="1:14" ht="30" x14ac:dyDescent="0.25">
      <c r="A144" s="21" t="s">
        <v>232</v>
      </c>
      <c r="B144" s="21" t="s">
        <v>232</v>
      </c>
      <c r="C144" s="4" t="str">
        <f t="shared" si="0"/>
        <v>Επί Πτυχίω</v>
      </c>
      <c r="D144" s="22" t="s">
        <v>44</v>
      </c>
      <c r="E144" s="23" t="s">
        <v>51</v>
      </c>
      <c r="F144" s="14">
        <f t="shared" ref="F144:H144" si="12">F17</f>
        <v>46282</v>
      </c>
      <c r="G144" s="24">
        <f t="shared" si="12"/>
        <v>0.5</v>
      </c>
      <c r="H144" s="24">
        <f t="shared" si="12"/>
        <v>0.58333333333333337</v>
      </c>
      <c r="I144" s="4" t="str">
        <f t="shared" si="1"/>
        <v>12:00 - 14:00</v>
      </c>
      <c r="J144" s="4" t="str">
        <f t="shared" ref="J144:J145" si="13">J17</f>
        <v>Νέες Αίθουσες</v>
      </c>
      <c r="K144" s="25" t="str">
        <f ca="1">IFERROR(__xludf.DUMMYFUNCTION("IF($E144="""", """", IF(OR(IFERROR(REGEXMATCH(TEXT($F144, ""dd/mm/yyyy""), SUBSTITUTE($G$2, "", "", ""|"")), FALSE), $F144=$G$4, $F144=$H$4), ""Εξέταση σε σ/κ ή αργία"", """"))"),"")</f>
        <v/>
      </c>
      <c r="L144" s="25" t="str">
        <f ca="1">IFERROR(__xludf.DUMMYFUNCTION("IFERROR(IF(ISNUMBER(SEARCH(TEXTJOIN("", "", TRUE, FILTER($E$8:$E$204, $F$8:$F$204 = F144, $J$8:$J$204 = J144, $G$8:$G$204 &lt; H144, $H$8:$H$204 &gt; G144, ROW($E$8:$E$204) &lt;&gt; ROW(E144))), #REF!)), """", TEXTJOIN("", "", TRUE, FILTER($E$8:$E$204, $F$8:$F$204 = "&amp;"F144, $J$8:$J$204 = J144, $G$8:$G$204 &lt; H144, $H$8:$H$204 &gt; G144, ROW($E$8:$E$204) &lt;&gt; ROW(E144)))), """")"),"Μικροσκοπική Ανατομική Ι (Θεωρία)")</f>
        <v>Μικροσκοπική Ανατομική Ι (Θεωρία)</v>
      </c>
      <c r="M144" s="23" t="s">
        <v>239</v>
      </c>
      <c r="N144" s="13"/>
    </row>
    <row r="145" spans="1:14" ht="30" x14ac:dyDescent="0.25">
      <c r="A145" s="21" t="s">
        <v>232</v>
      </c>
      <c r="B145" s="21" t="s">
        <v>232</v>
      </c>
      <c r="C145" s="4" t="str">
        <f t="shared" si="0"/>
        <v>Επί Πτυχίω</v>
      </c>
      <c r="D145" s="22" t="s">
        <v>44</v>
      </c>
      <c r="E145" s="23" t="s">
        <v>53</v>
      </c>
      <c r="F145" s="14">
        <f t="shared" ref="F145:H145" si="14">F18</f>
        <v>46281</v>
      </c>
      <c r="G145" s="24">
        <f t="shared" si="14"/>
        <v>0.5</v>
      </c>
      <c r="H145" s="24">
        <f t="shared" si="14"/>
        <v>0.58333333333333337</v>
      </c>
      <c r="I145" s="4" t="str">
        <f t="shared" si="1"/>
        <v>12:00 - 14:00</v>
      </c>
      <c r="J145" s="4" t="str">
        <f t="shared" si="13"/>
        <v>Αμφιθέατρα</v>
      </c>
      <c r="K145" s="25" t="str">
        <f ca="1">IFERROR(__xludf.DUMMYFUNCTION("IF($E145="""", """", IF(OR(IFERROR(REGEXMATCH(TEXT($F145, ""dd/mm/yyyy""), SUBSTITUTE($G$2, "", "", ""|"")), FALSE), $F145=$G$4, $F145=$H$4), ""Εξέταση σε σ/κ ή αργία"", """"))"),"")</f>
        <v/>
      </c>
      <c r="L145" s="25" t="str">
        <f ca="1">IFERROR(__xludf.DUMMYFUNCTION("IFERROR(IF(ISNUMBER(SEARCH(TEXTJOIN("", "", TRUE, FILTER($E$8:$E$204, $F$8:$F$204 = F145, $J$8:$J$204 = J145, $G$8:$G$204 &lt; H145, $H$8:$H$204 &gt; G145, ROW($E$8:$E$204) &lt;&gt; ROW(E145))), #REF!)), """", TEXTJOIN("", "", TRUE, FILTER($E$8:$E$204, $F$8:$F$204 = "&amp;"F145, $J$8:$J$204 = J145, $G$8:$G$204 &lt; H145, $H$8:$H$204 &gt; G145, ROW($E$8:$E$204) &lt;&gt; ROW(E145)))), """")"),"Μικροσκοπική Ανατομική Ι (Πρακτικά)")</f>
        <v>Μικροσκοπική Ανατομική Ι (Πρακτικά)</v>
      </c>
      <c r="M145" s="23" t="s">
        <v>240</v>
      </c>
      <c r="N145" s="13"/>
    </row>
    <row r="146" spans="1:14" ht="30" x14ac:dyDescent="0.25">
      <c r="A146" s="21" t="s">
        <v>232</v>
      </c>
      <c r="B146" s="21" t="s">
        <v>232</v>
      </c>
      <c r="C146" s="4" t="str">
        <f t="shared" si="0"/>
        <v>Επί Πτυχίω</v>
      </c>
      <c r="D146" s="22" t="s">
        <v>44</v>
      </c>
      <c r="E146" s="23" t="s">
        <v>66</v>
      </c>
      <c r="F146" s="14">
        <f t="shared" ref="F146:H146" si="15">F26</f>
        <v>46279</v>
      </c>
      <c r="G146" s="24">
        <f t="shared" si="15"/>
        <v>0.5</v>
      </c>
      <c r="H146" s="24">
        <f t="shared" si="15"/>
        <v>0.58333333333333337</v>
      </c>
      <c r="I146" s="4" t="str">
        <f t="shared" si="1"/>
        <v>12:00 - 14:00</v>
      </c>
      <c r="J146" s="4" t="str">
        <f t="shared" ref="J146:J147" si="16">J26</f>
        <v>Αμφιθέατρα</v>
      </c>
      <c r="K146" s="25" t="str">
        <f ca="1">IFERROR(__xludf.DUMMYFUNCTION("IF($E146="""", """", IF(OR(IFERROR(REGEXMATCH(TEXT($F146, ""dd/mm/yyyy""), SUBSTITUTE($G$2, "", "", ""|"")), FALSE), $F146=$G$4, $F146=$H$4), ""Εξέταση σε σ/κ ή αργία"", """"))"),"")</f>
        <v/>
      </c>
      <c r="L146" s="25" t="str">
        <f ca="1">IFERROR(__xludf.DUMMYFUNCTION("IFERROR(IF(ISNUMBER(SEARCH(TEXTJOIN("", "", TRUE, FILTER($E$8:$E$204, $F$8:$F$204 = F146, $J$8:$J$204 = J146, $G$8:$G$204 &lt; H146, $H$8:$H$204 &gt; G146, ROW($E$8:$E$204) &lt;&gt; ROW(E146))), #REF!)), """", TEXTJOIN("", "", TRUE, FILTER($E$8:$E$204, $F$8:$F$204 = "&amp;"F146, $J$8:$J$204 = J146, $G$8:$G$204 &lt; H146, $H$8:$H$204 &gt; G146, ROW($E$8:$E$204) &lt;&gt; ROW(E146)))), """")"),"Μικροσκοπική Ανατομική ΙΙ (Θεωρία)")</f>
        <v>Μικροσκοπική Ανατομική ΙΙ (Θεωρία)</v>
      </c>
      <c r="M146" s="23" t="s">
        <v>241</v>
      </c>
      <c r="N146" s="13"/>
    </row>
    <row r="147" spans="1:14" ht="30" x14ac:dyDescent="0.25">
      <c r="A147" s="21" t="s">
        <v>232</v>
      </c>
      <c r="B147" s="21" t="s">
        <v>232</v>
      </c>
      <c r="C147" s="4" t="str">
        <f t="shared" si="0"/>
        <v>Επί Πτυχίω</v>
      </c>
      <c r="D147" s="22" t="s">
        <v>44</v>
      </c>
      <c r="E147" s="23" t="s">
        <v>68</v>
      </c>
      <c r="F147" s="14">
        <f t="shared" ref="F147:H147" si="17">F27</f>
        <v>46279</v>
      </c>
      <c r="G147" s="24">
        <f t="shared" si="17"/>
        <v>0.375</v>
      </c>
      <c r="H147" s="24">
        <f t="shared" si="17"/>
        <v>0.5</v>
      </c>
      <c r="I147" s="4" t="str">
        <f t="shared" si="1"/>
        <v>09:00 - 12:00</v>
      </c>
      <c r="J147" s="4" t="str">
        <f t="shared" si="16"/>
        <v>Αμφιθέατρα</v>
      </c>
      <c r="K147" s="25" t="str">
        <f ca="1">IFERROR(__xludf.DUMMYFUNCTION("IF($E147="""", """", IF(OR(IFERROR(REGEXMATCH(TEXT($F147, ""dd/mm/yyyy""), SUBSTITUTE($G$2, "", "", ""|"")), FALSE), $F147=$G$4, $F147=$H$4), ""Εξέταση σε σ/κ ή αργία"", """"))"),"")</f>
        <v/>
      </c>
      <c r="L147" s="25" t="str">
        <f ca="1">IFERROR(__xludf.DUMMYFUNCTION("IFERROR(IF(ISNUMBER(SEARCH(TEXTJOIN("", "", TRUE, FILTER($E$8:$E$204, $F$8:$F$204 = F147, $J$8:$J$204 = J147, $G$8:$G$204 &lt; H147, $H$8:$H$204 &gt; G147, ROW($E$8:$E$204) &lt;&gt; ROW(E147))), #REF!)), """", TEXTJOIN("", "", TRUE, FILTER($E$8:$E$204, $F$8:$F$204 = "&amp;"F147, $J$8:$J$204 = J147, $G$8:$G$204 &lt; H147, $H$8:$H$204 &gt; G147, ROW($E$8:$E$204) &lt;&gt; ROW(E147)))), """")"),"Μικροσκοπική Ανατομική ΙΙ (Πρακτικά)")</f>
        <v>Μικροσκοπική Ανατομική ΙΙ (Πρακτικά)</v>
      </c>
      <c r="M147" s="23" t="s">
        <v>242</v>
      </c>
      <c r="N147" s="13"/>
    </row>
    <row r="148" spans="1:14" x14ac:dyDescent="0.25">
      <c r="A148" s="21" t="s">
        <v>232</v>
      </c>
      <c r="B148" s="21" t="s">
        <v>232</v>
      </c>
      <c r="C148" s="4" t="str">
        <f t="shared" si="0"/>
        <v>Επί Πτυχίω</v>
      </c>
      <c r="D148" s="22" t="s">
        <v>77</v>
      </c>
      <c r="E148" s="23" t="s">
        <v>79</v>
      </c>
      <c r="F148" s="14">
        <f t="shared" ref="F148:H148" si="18">F34</f>
        <v>46272</v>
      </c>
      <c r="G148" s="24">
        <f t="shared" si="18"/>
        <v>0.375</v>
      </c>
      <c r="H148" s="24">
        <f t="shared" si="18"/>
        <v>0.5</v>
      </c>
      <c r="I148" s="4" t="str">
        <f t="shared" si="1"/>
        <v>09:00 - 12:00</v>
      </c>
      <c r="J148" s="4" t="str">
        <f>J34</f>
        <v>Αμφιθέατρα</v>
      </c>
      <c r="K148" s="25" t="str">
        <f ca="1">IFERROR(__xludf.DUMMYFUNCTION("IF($E148="""", """", IF(OR(IFERROR(REGEXMATCH(TEXT($F148, ""dd/mm/yyyy""), SUBSTITUTE($G$2, "", "", ""|"")), FALSE), $F148=$G$4, $F148=$H$4), ""Εξέταση σε σ/κ ή αργία"", """"))"),"")</f>
        <v/>
      </c>
      <c r="L148" s="25" t="str">
        <f ca="1">IFERROR(__xludf.DUMMYFUNCTION("IFERROR(IF(ISNUMBER(SEARCH(TEXTJOIN("", "", TRUE, FILTER($E$8:$E$204, $F$8:$F$204 = F148, $J$8:$J$204 = J148, $G$8:$G$204 &lt; H148, $H$8:$H$204 &gt; G148, ROW($E$8:$E$204) &lt;&gt; ROW(E148))), #REF!)), """", TEXTJOIN("", "", TRUE, FILTER($E$8:$E$204, $F$8:$F$204 = "&amp;"F148, $J$8:$J$204 = J148, $G$8:$G$204 &lt; H148, $H$8:$H$204 &gt; G148, ROW($E$8:$E$204) &lt;&gt; ROW(E148)))), """")"),"Γενική Μικροβιολογία")</f>
        <v>Γενική Μικροβιολογία</v>
      </c>
      <c r="M148" s="23" t="s">
        <v>78</v>
      </c>
      <c r="N148" s="13"/>
    </row>
    <row r="149" spans="1:14" ht="30" x14ac:dyDescent="0.25">
      <c r="A149" s="21" t="s">
        <v>232</v>
      </c>
      <c r="B149" s="21" t="s">
        <v>232</v>
      </c>
      <c r="C149" s="4" t="str">
        <f t="shared" si="0"/>
        <v>Επί Πτυχίω</v>
      </c>
      <c r="D149" s="22" t="s">
        <v>77</v>
      </c>
      <c r="E149" s="23" t="s">
        <v>97</v>
      </c>
      <c r="F149" s="14">
        <f t="shared" ref="F149:H149" si="19">F45</f>
        <v>46279</v>
      </c>
      <c r="G149" s="24">
        <f t="shared" si="19"/>
        <v>0.75</v>
      </c>
      <c r="H149" s="24">
        <f t="shared" si="19"/>
        <v>0.875</v>
      </c>
      <c r="I149" s="4" t="str">
        <f t="shared" si="1"/>
        <v>18:00 - 21:00</v>
      </c>
      <c r="J149" s="4" t="str">
        <f>J45</f>
        <v>Αμφιθέατρα</v>
      </c>
      <c r="K149" s="25" t="str">
        <f ca="1">IFERROR(__xludf.DUMMYFUNCTION("IF($E149="""", """", IF(OR(IFERROR(REGEXMATCH(TEXT($F149, ""dd/mm/yyyy""), SUBSTITUTE($G$2, "", "", ""|"")), FALSE), $F149=$G$4, $F149=$H$4), ""Εξέταση σε σ/κ ή αργία"", """"))"),"")</f>
        <v/>
      </c>
      <c r="L149" s="25" t="str">
        <f ca="1">IFERROR(__xludf.DUMMYFUNCTION("IFERROR(IF(ISNUMBER(SEARCH(TEXTJOIN("", "", TRUE, FILTER($E$8:$E$204, $F$8:$F$204 = F149, $J$8:$J$204 = J149, $G$8:$G$204 &lt; H149, $H$8:$H$204 &gt; G149, ROW($E$8:$E$204) &lt;&gt; ROW(E149))), #REF!)), """", TEXTJOIN("", "", TRUE, FILTER($E$8:$E$204, $F$8:$F$204 = "&amp;"F149, $J$8:$J$204 = J149, $G$8:$G$204 &lt; H149, $H$8:$H$204 &gt; G149, ROW($E$8:$E$204) &lt;&gt; ROW(E149)))), """")"),"Διαγνωστική Μικροβιολογία")</f>
        <v>Διαγνωστική Μικροβιολογία</v>
      </c>
      <c r="M149" s="23" t="s">
        <v>96</v>
      </c>
      <c r="N149" s="13"/>
    </row>
    <row r="150" spans="1:14" x14ac:dyDescent="0.25">
      <c r="A150" s="21" t="s">
        <v>232</v>
      </c>
      <c r="B150" s="21" t="s">
        <v>232</v>
      </c>
      <c r="C150" s="4" t="str">
        <f t="shared" si="0"/>
        <v>Επί Πτυχίω</v>
      </c>
      <c r="D150" s="22" t="s">
        <v>92</v>
      </c>
      <c r="E150" s="23" t="s">
        <v>94</v>
      </c>
      <c r="F150" s="14">
        <f t="shared" ref="F150:H150" si="20">F43</f>
        <v>46269</v>
      </c>
      <c r="G150" s="24">
        <f t="shared" si="20"/>
        <v>0.70833333333333337</v>
      </c>
      <c r="H150" s="24">
        <f t="shared" si="20"/>
        <v>0.79166666666666663</v>
      </c>
      <c r="I150" s="4" t="str">
        <f t="shared" si="1"/>
        <v>17:00 - 19:00</v>
      </c>
      <c r="J150" s="4" t="str">
        <f>J43</f>
        <v>Νέες Αίθουσες</v>
      </c>
      <c r="K150" s="25" t="str">
        <f ca="1">IFERROR(__xludf.DUMMYFUNCTION("IF($E150="""", """", IF(OR(IFERROR(REGEXMATCH(TEXT($F150, ""dd/mm/yyyy""), SUBSTITUTE($G$2, "", "", ""|"")), FALSE), $F150=$G$4, $F150=$H$4), ""Εξέταση σε σ/κ ή αργία"", """"))"),"")</f>
        <v/>
      </c>
      <c r="L150" s="25" t="str">
        <f ca="1">IFERROR(__xludf.DUMMYFUNCTION("IFERROR(IF(ISNUMBER(SEARCH(TEXTJOIN("", "", TRUE, FILTER($E$8:$E$204, $F$8:$F$204 = F150, $J$8:$J$204 = J150, $G$8:$G$204 &lt; H150, $H$8:$H$204 &gt; G150, ROW($E$8:$E$204) &lt;&gt; ROW(E150))), #REF!)), """", TEXTJOIN("", "", TRUE, FILTER($E$8:$E$204, $F$8:$F$204 = "&amp;"F150, $J$8:$J$204 = J150, $G$8:$G$204 &lt; H150, $H$8:$H$204 &gt; G150, ROW($E$8:$E$204) &lt;&gt; ROW(E150)))), """")"),"Γενική Παθολογία")</f>
        <v>Γενική Παθολογία</v>
      </c>
      <c r="M150" s="23" t="s">
        <v>93</v>
      </c>
      <c r="N150" s="13"/>
    </row>
    <row r="151" spans="1:14" ht="30" x14ac:dyDescent="0.25">
      <c r="A151" s="21" t="s">
        <v>232</v>
      </c>
      <c r="B151" s="21" t="s">
        <v>232</v>
      </c>
      <c r="C151" s="4" t="str">
        <f t="shared" si="0"/>
        <v>Επί Πτυχίω</v>
      </c>
      <c r="D151" s="22" t="s">
        <v>92</v>
      </c>
      <c r="E151" s="23" t="s">
        <v>110</v>
      </c>
      <c r="F151" s="14">
        <f t="shared" ref="F151:H151" si="21">F55</f>
        <v>46275</v>
      </c>
      <c r="G151" s="24">
        <f t="shared" si="21"/>
        <v>0.625</v>
      </c>
      <c r="H151" s="24">
        <f t="shared" si="21"/>
        <v>0.70833333333333337</v>
      </c>
      <c r="I151" s="4" t="str">
        <f t="shared" si="1"/>
        <v>15:00 - 17:00</v>
      </c>
      <c r="J151" s="4" t="str">
        <f>J55</f>
        <v>Νέες Αίθουσες</v>
      </c>
      <c r="K151" s="25" t="str">
        <f ca="1">IFERROR(__xludf.DUMMYFUNCTION("IF($E151="""", """", IF(OR(IFERROR(REGEXMATCH(TEXT($F151, ""dd/mm/yyyy""), SUBSTITUTE($G$2, "", "", ""|"")), FALSE), $F151=$G$4, $F151=$H$4), ""Εξέταση σε σ/κ ή αργία"", """"))"),"")</f>
        <v/>
      </c>
      <c r="L151" s="25" t="str">
        <f ca="1">IFERROR(__xludf.DUMMYFUNCTION("IFERROR(IF(ISNUMBER(SEARCH(TEXTJOIN("", "", TRUE, FILTER($E$8:$E$204, $F$8:$F$204 = F151, $J$8:$J$204 = J151, $G$8:$G$204 &lt; H151, $H$8:$H$204 &gt; G151, ROW($E$8:$E$204) &lt;&gt; ROW(E151))), #REF!)), """", TEXTJOIN("", "", TRUE, FILTER($E$8:$E$204, $F$8:$F$204 = "&amp;"F151, $J$8:$J$204 = J151, $G$8:$G$204 &lt; H151, $H$8:$H$204 &gt; G151, ROW($E$8:$E$204) &lt;&gt; ROW(E151)))), """")"),"Παθολογία Ζώων Συντροφιάς Ι")</f>
        <v>Παθολογία Ζώων Συντροφιάς Ι</v>
      </c>
      <c r="M151" s="23" t="s">
        <v>109</v>
      </c>
      <c r="N151" s="13"/>
    </row>
    <row r="152" spans="1:14" ht="30" x14ac:dyDescent="0.25">
      <c r="A152" s="21" t="s">
        <v>232</v>
      </c>
      <c r="B152" s="21" t="s">
        <v>232</v>
      </c>
      <c r="C152" s="4" t="str">
        <f t="shared" si="0"/>
        <v>Επί Πτυχίω</v>
      </c>
      <c r="D152" s="22" t="s">
        <v>92</v>
      </c>
      <c r="E152" s="23" t="s">
        <v>128</v>
      </c>
      <c r="F152" s="14">
        <f t="shared" ref="F152:H152" si="22">F69</f>
        <v>46269</v>
      </c>
      <c r="G152" s="24">
        <f t="shared" si="22"/>
        <v>0.625</v>
      </c>
      <c r="H152" s="24">
        <f t="shared" si="22"/>
        <v>0.70833333333333337</v>
      </c>
      <c r="I152" s="4" t="str">
        <f t="shared" si="1"/>
        <v>15:00 - 17:00</v>
      </c>
      <c r="J152" s="4" t="str">
        <f>J69</f>
        <v>Νέες Αίθουσες</v>
      </c>
      <c r="K152" s="25" t="str">
        <f ca="1">IFERROR(__xludf.DUMMYFUNCTION("IF($E152="""", """", IF(OR(IFERROR(REGEXMATCH(TEXT($F152, ""dd/mm/yyyy""), SUBSTITUTE($G$2, "", "", ""|"")), FALSE), $F152=$G$4, $F152=$H$4), ""Εξέταση σε σ/κ ή αργία"", """"))"),"")</f>
        <v/>
      </c>
      <c r="L152" s="25" t="str">
        <f ca="1">IFERROR(__xludf.DUMMYFUNCTION("IFERROR(IF(ISNUMBER(SEARCH(TEXTJOIN("", "", TRUE, FILTER($E$8:$E$204, $F$8:$F$204 = F152, $J$8:$J$204 = J152, $G$8:$G$204 &lt; H152, $H$8:$H$204 &gt; G152, ROW($E$8:$E$204) &lt;&gt; ROW(E152))), #REF!)), """", TEXTJOIN("", "", TRUE, FILTER($E$8:$E$204, $F$8:$F$204 = "&amp;"F152, $J$8:$J$204 = J152, $G$8:$G$204 &lt; H152, $H$8:$H$204 &gt; G152, ROW($E$8:$E$204) &lt;&gt; ROW(E152)))), """")"),"Παθολογία Ζώων Συντροφιάς ΙΙ")</f>
        <v>Παθολογία Ζώων Συντροφιάς ΙΙ</v>
      </c>
      <c r="M152" s="23" t="s">
        <v>127</v>
      </c>
      <c r="N152" s="13"/>
    </row>
    <row r="153" spans="1:14" ht="30" x14ac:dyDescent="0.25">
      <c r="A153" s="21" t="s">
        <v>232</v>
      </c>
      <c r="B153" s="21" t="s">
        <v>232</v>
      </c>
      <c r="C153" s="4" t="str">
        <f t="shared" si="0"/>
        <v>Επί Πτυχίω</v>
      </c>
      <c r="D153" s="22" t="s">
        <v>92</v>
      </c>
      <c r="E153" s="23" t="s">
        <v>145</v>
      </c>
      <c r="F153" s="14">
        <f t="shared" ref="F153:H153" si="23">F81</f>
        <v>46267</v>
      </c>
      <c r="G153" s="24">
        <f t="shared" si="23"/>
        <v>0.66666666666666663</v>
      </c>
      <c r="H153" s="24">
        <f t="shared" si="23"/>
        <v>0.75</v>
      </c>
      <c r="I153" s="4" t="str">
        <f t="shared" si="1"/>
        <v>16:00 - 18:00</v>
      </c>
      <c r="J153" s="4" t="str">
        <f>J81</f>
        <v>Νέες Αίθουσες</v>
      </c>
      <c r="K153" s="25" t="str">
        <f ca="1">IFERROR(__xludf.DUMMYFUNCTION("IF($E153="""", """", IF(OR(IFERROR(REGEXMATCH(TEXT($F153, ""dd/mm/yyyy""), SUBSTITUTE($G$2, "", "", ""|"")), FALSE), $F153=$G$4, $F153=$H$4), ""Εξέταση σε σ/κ ή αργία"", """"))"),"")</f>
        <v/>
      </c>
      <c r="L153" s="25" t="str">
        <f ca="1">IFERROR(__xludf.DUMMYFUNCTION("IFERROR(IF(ISNUMBER(SEARCH(TEXTJOIN("", "", TRUE, FILTER($E$8:$E$204, $F$8:$F$204 = F153, $J$8:$J$204 = J153, $G$8:$G$204 &lt; H153, $H$8:$H$204 &gt; G153, ROW($E$8:$E$204) &lt;&gt; ROW(E153))), #REF!)), """", TEXTJOIN("", "", TRUE, FILTER($E$8:$E$204, $F$8:$F$204 = "&amp;"F153, $J$8:$J$204 = J153, $G$8:$G$204 &lt; H153, $H$8:$H$204 &gt; G153, ROW($E$8:$E$204) &lt;&gt; ROW(E153)))), """")"),"Παθολογία Ζώων Συντροφιάς ΙΙΙ")</f>
        <v>Παθολογία Ζώων Συντροφιάς ΙΙΙ</v>
      </c>
      <c r="M153" s="23" t="s">
        <v>144</v>
      </c>
      <c r="N153" s="13"/>
    </row>
    <row r="154" spans="1:14" ht="120" x14ac:dyDescent="0.25">
      <c r="A154" s="21" t="s">
        <v>232</v>
      </c>
      <c r="B154" s="21" t="s">
        <v>232</v>
      </c>
      <c r="C154" s="4" t="str">
        <f t="shared" si="0"/>
        <v>Επί Πτυχίω</v>
      </c>
      <c r="D154" s="22" t="s">
        <v>92</v>
      </c>
      <c r="E154" s="23" t="s">
        <v>243</v>
      </c>
      <c r="F154" s="14">
        <f t="shared" ref="F154:H154" si="24">F90</f>
        <v>46276</v>
      </c>
      <c r="G154" s="24">
        <f t="shared" si="24"/>
        <v>0.75</v>
      </c>
      <c r="H154" s="24">
        <f t="shared" si="24"/>
        <v>0.83333333333333337</v>
      </c>
      <c r="I154" s="4" t="str">
        <f t="shared" si="1"/>
        <v>18:00 - 20:00</v>
      </c>
      <c r="J154" s="4" t="str">
        <f>J90</f>
        <v>Νέες Αίθουσες</v>
      </c>
      <c r="K154" s="25" t="str">
        <f ca="1">IFERROR(__xludf.DUMMYFUNCTION("IF($E154="""", """", IF(OR(IFERROR(REGEXMATCH(TEXT($F154, ""dd/mm/yyyy""), SUBSTITUTE($G$2, "", "", ""|"")), FALSE), $F154=$G$4, $F154=$H$4), ""Εξέταση σε σ/κ ή αργία"", """"))"),"")</f>
        <v/>
      </c>
      <c r="L154" s="25" t="str">
        <f ca="1">IFERROR(__xludf.DUMMYFUNCTION("IFERROR(IF(ISNUMBER(SEARCH(TEXTJOIN("", "", TRUE, FILTER($E$8:$E$204, $F$8:$F$204 = F154, $J$8:$J$204 = J154, $G$8:$G$204 &lt; H154, $H$8:$H$204 &gt; G154, ROW($E$8:$E$204) &lt;&gt; ROW(E154))), #REF!)), """", TEXTJOIN("", "", TRUE, FILTER($E$8:$E$204, $F$8:$F$204 = "&amp;"F154, $J$8:$J$204 = J154, $G$8:$G$204 &lt; H154, $H$8:$H$204 &gt; G154, ROW($E$8:$E$204) &lt;&gt; ROW(E154)))), """")"),"Παθολογία Ζώων Συντροφιάς ΙV, Εξειδικευμένα Μαθήματα Δερματολογίας Ζώων Συντροφιάς, Ειδικη Παθολογία ΖΣ V (ΠΠΣ) (Γραπτά)")</f>
        <v>Παθολογία Ζώων Συντροφιάς ΙV, Εξειδικευμένα Μαθήματα Δερματολογίας Ζώων Συντροφιάς, Ειδικη Παθολογία ΖΣ V (ΠΠΣ) (Γραπτά)</v>
      </c>
      <c r="M154" s="23" t="s">
        <v>244</v>
      </c>
      <c r="N154" s="13"/>
    </row>
    <row r="155" spans="1:14" ht="105" x14ac:dyDescent="0.25">
      <c r="A155" s="21" t="s">
        <v>232</v>
      </c>
      <c r="B155" s="21" t="s">
        <v>232</v>
      </c>
      <c r="C155" s="4" t="str">
        <f t="shared" si="0"/>
        <v>Επί Πτυχίω</v>
      </c>
      <c r="D155" s="22" t="s">
        <v>92</v>
      </c>
      <c r="E155" s="23" t="s">
        <v>245</v>
      </c>
      <c r="F155" s="14">
        <f t="shared" ref="F155:H155" si="25">F90</f>
        <v>46276</v>
      </c>
      <c r="G155" s="24">
        <f t="shared" si="25"/>
        <v>0.75</v>
      </c>
      <c r="H155" s="24">
        <f t="shared" si="25"/>
        <v>0.83333333333333337</v>
      </c>
      <c r="I155" s="4" t="str">
        <f t="shared" si="1"/>
        <v>18:00 - 20:00</v>
      </c>
      <c r="J155" s="4" t="str">
        <f>J90</f>
        <v>Νέες Αίθουσες</v>
      </c>
      <c r="K155" s="25" t="str">
        <f ca="1">IFERROR(__xludf.DUMMYFUNCTION("IF($E155="""", """", IF(OR(IFERROR(REGEXMATCH(TEXT($F155, ""dd/mm/yyyy""), SUBSTITUTE($G$2, "", "", ""|"")), FALSE), $F155=$G$4, $F155=$H$4), ""Εξέταση σε σ/κ ή αργία"", """"))"),"")</f>
        <v/>
      </c>
      <c r="L155" s="25" t="str">
        <f ca="1">IFERROR(__xludf.DUMMYFUNCTION("IFERROR(IF(ISNUMBER(SEARCH(TEXTJOIN("", "", TRUE, FILTER($E$8:$E$204, $F$8:$F$204 = F155, $J$8:$J$204 = J155, $G$8:$G$204 &lt; H155, $H$8:$H$204 &gt; G155, ROW($E$8:$E$204) &lt;&gt; ROW(E155))), #REF!)), """", TEXTJOIN("", "", TRUE, FILTER($E$8:$E$204, $F$8:$F$204 = "&amp;"F155, $J$8:$J$204 = J155, $G$8:$G$204 &lt; H155, $H$8:$H$204 &gt; G155, ROW($E$8:$E$204) &lt;&gt; ROW(E155)))), """")"),"Παθολογία Ζώων Συντροφιάς ΙV, Εξειδικευμένα Μαθήματα Δερματολογίας Ζώων Συντροφιάς, Ειδική Παθολογία ΖΣ ΙV (ΠΠΣ)")</f>
        <v>Παθολογία Ζώων Συντροφιάς ΙV, Εξειδικευμένα Μαθήματα Δερματολογίας Ζώων Συντροφιάς, Ειδική Παθολογία ΖΣ ΙV (ΠΠΣ)</v>
      </c>
      <c r="M155" s="23" t="s">
        <v>246</v>
      </c>
      <c r="N155" s="13"/>
    </row>
    <row r="156" spans="1:14" ht="120" x14ac:dyDescent="0.25">
      <c r="A156" s="21" t="s">
        <v>232</v>
      </c>
      <c r="B156" s="21" t="s">
        <v>232</v>
      </c>
      <c r="C156" s="4" t="str">
        <f t="shared" si="0"/>
        <v>Επί Πτυχίω</v>
      </c>
      <c r="D156" s="22" t="s">
        <v>92</v>
      </c>
      <c r="E156" s="23" t="s">
        <v>247</v>
      </c>
      <c r="F156" s="14">
        <f t="shared" ref="F156:H156" si="26">F102</f>
        <v>46267</v>
      </c>
      <c r="G156" s="24">
        <f t="shared" si="26"/>
        <v>0.375</v>
      </c>
      <c r="H156" s="24">
        <f t="shared" si="26"/>
        <v>0.625</v>
      </c>
      <c r="I156" s="4" t="str">
        <f t="shared" si="1"/>
        <v>09:00 - 15:00</v>
      </c>
      <c r="J156" s="4" t="str">
        <f>J103</f>
        <v>Παθολογική Κλινική</v>
      </c>
      <c r="K156" s="25" t="str">
        <f ca="1">IFERROR(__xludf.DUMMYFUNCTION("IF($E156="""", """", IF(OR(IFERROR(REGEXMATCH(TEXT($F156, ""dd/mm/yyyy""), SUBSTITUTE($G$2, "", "", ""|"")), FALSE), $F156=$G$4, $F156=$H$4), ""Εξέταση σε σ/κ ή αργία"", """"))"),"")</f>
        <v/>
      </c>
      <c r="L156" s="25" t="str">
        <f ca="1">IFERROR(__xludf.DUMMYFUNCTION("IFERROR(IF(ISNUMBER(SEARCH(TEXTJOIN("", "", TRUE, FILTER($E$8:$E$204, $F$8:$F$204 = F156, $J$8:$J$204 = J156, $G$8:$G$204 &lt; H156, $H$8:$H$204 &gt; G156, ROW($E$8:$E$204) &lt;&gt; ROW(E156))), #REF!)), """", TEXTJOIN("", "", TRUE, FILTER($E$8:$E$204, $F$8:$F$204 = "&amp;"F156, $J$8:$J$204 = J156, $G$8:$G$204 &lt; H156, $H$8:$H$204 &gt; G156, ROW($E$8:$E$204) &lt;&gt; ROW(E156)))), """")"),"Πρακτική Άσκηση στην Παθολογία Ζώων Συντροφιάς Ι (1η ημέρα), Πρακτική Άσκηση στην Παθολογία Ζώων Συντροφιάς ΙΙ (1η ημέρα)")</f>
        <v>Πρακτική Άσκηση στην Παθολογία Ζώων Συντροφιάς Ι (1η ημέρα), Πρακτική Άσκηση στην Παθολογία Ζώων Συντροφιάς ΙΙ (1η ημέρα)</v>
      </c>
      <c r="M156" s="23" t="s">
        <v>248</v>
      </c>
      <c r="N156" s="13"/>
    </row>
    <row r="157" spans="1:14" ht="120" x14ac:dyDescent="0.25">
      <c r="A157" s="21" t="s">
        <v>232</v>
      </c>
      <c r="B157" s="21" t="s">
        <v>232</v>
      </c>
      <c r="C157" s="4" t="str">
        <f t="shared" si="0"/>
        <v>Επί Πτυχίω</v>
      </c>
      <c r="D157" s="22" t="s">
        <v>92</v>
      </c>
      <c r="E157" s="23" t="s">
        <v>249</v>
      </c>
      <c r="F157" s="14">
        <f t="shared" ref="F157:F159" si="27">F103</f>
        <v>46268</v>
      </c>
      <c r="G157" s="24">
        <f>G102</f>
        <v>0.375</v>
      </c>
      <c r="H157" s="24">
        <f>H103</f>
        <v>0.625</v>
      </c>
      <c r="I157" s="4" t="str">
        <f t="shared" si="1"/>
        <v>09:00 - 15:00</v>
      </c>
      <c r="J157" s="4" t="s">
        <v>177</v>
      </c>
      <c r="K157" s="25" t="str">
        <f ca="1">IFERROR(__xludf.DUMMYFUNCTION("IF($E157="""", """", IF(OR(IFERROR(REGEXMATCH(TEXT($F157, ""dd/mm/yyyy""), SUBSTITUTE($G$2, "", "", ""|"")), FALSE), $F157=$G$4, $F157=$H$4), ""Εξέταση σε σ/κ ή αργία"", """"))"),"")</f>
        <v/>
      </c>
      <c r="L157" s="25" t="str">
        <f ca="1">IFERROR(__xludf.DUMMYFUNCTION("IFERROR(IF(ISNUMBER(SEARCH(TEXTJOIN("", "", TRUE, FILTER($E$8:$E$204, $F$8:$F$204 = F157, $J$8:$J$204 = J157, $G$8:$G$204 &lt; H157, $H$8:$H$204 &gt; G157, ROW($E$8:$E$204) &lt;&gt; ROW(E157))), #REF!)), """", TEXTJOIN("", "", TRUE, FILTER($E$8:$E$204, $F$8:$F$204 = "&amp;"F157, $J$8:$J$204 = J157, $G$8:$G$204 &lt; H157, $H$8:$H$204 &gt; G157, ROW($E$8:$E$204) &lt;&gt; ROW(E157)))), """")"),"Πρακτική Άσκηση στην Παθολογία Ζώων Συντροφιάς Ι (2η ημέρα), Πρακτική Άσκηση στην Παθολογία Ζώων Συντροφιάς ΙΙ (2η ημέρα)")</f>
        <v>Πρακτική Άσκηση στην Παθολογία Ζώων Συντροφιάς Ι (2η ημέρα), Πρακτική Άσκηση στην Παθολογία Ζώων Συντροφιάς ΙΙ (2η ημέρα)</v>
      </c>
      <c r="M157" s="23" t="s">
        <v>250</v>
      </c>
      <c r="N157" s="13"/>
    </row>
    <row r="158" spans="1:14" ht="120" x14ac:dyDescent="0.25">
      <c r="A158" s="21" t="s">
        <v>232</v>
      </c>
      <c r="B158" s="21" t="s">
        <v>232</v>
      </c>
      <c r="C158" s="4" t="str">
        <f t="shared" si="0"/>
        <v>Επί Πτυχίω</v>
      </c>
      <c r="D158" s="22" t="s">
        <v>92</v>
      </c>
      <c r="E158" s="23" t="s">
        <v>251</v>
      </c>
      <c r="F158" s="14">
        <f t="shared" si="27"/>
        <v>46269</v>
      </c>
      <c r="G158" s="24">
        <f t="shared" ref="G158:H158" si="28">G104</f>
        <v>0.375</v>
      </c>
      <c r="H158" s="24">
        <f t="shared" si="28"/>
        <v>0.625</v>
      </c>
      <c r="I158" s="4" t="str">
        <f t="shared" si="1"/>
        <v>09:00 - 15:00</v>
      </c>
      <c r="J158" s="4" t="str">
        <f t="shared" ref="J158:J159" si="29">J104</f>
        <v>Παθολογική Κλινική</v>
      </c>
      <c r="K158" s="25" t="str">
        <f ca="1">IFERROR(__xludf.DUMMYFUNCTION("IF($E158="""", """", IF(OR(IFERROR(REGEXMATCH(TEXT($F158, ""dd/mm/yyyy""), SUBSTITUTE($G$2, "", "", ""|"")), FALSE), $F158=$G$4, $F158=$H$4), ""Εξέταση σε σ/κ ή αργία"", """"))"),"")</f>
        <v/>
      </c>
      <c r="L158" s="25" t="str">
        <f ca="1">IFERROR(__xludf.DUMMYFUNCTION("IFERROR(IF(ISNUMBER(SEARCH(TEXTJOIN("", "", TRUE, FILTER($E$8:$E$204, $F$8:$F$204 = F158, $J$8:$J$204 = J158, $G$8:$G$204 &lt; H158, $H$8:$H$204 &gt; G158, ROW($E$8:$E$204) &lt;&gt; ROW(E158))), #REF!)), """", TEXTJOIN("", "", TRUE, FILTER($E$8:$E$204, $F$8:$F$204 = "&amp;"F158, $J$8:$J$204 = J158, $G$8:$G$204 &lt; H158, $H$8:$H$204 &gt; G158, ROW($E$8:$E$204) &lt;&gt; ROW(E158)))), """")"),"Πρακτική Άσκηση στην Παθολογία Ζώων Συντροφιάς Ι (3η ημέρα), Πρακτική Άσκηση στην Παθολογία Ζώων Συντροφιάς ΙΙ (3η ημέρα)")</f>
        <v>Πρακτική Άσκηση στην Παθολογία Ζώων Συντροφιάς Ι (3η ημέρα), Πρακτική Άσκηση στην Παθολογία Ζώων Συντροφιάς ΙΙ (3η ημέρα)</v>
      </c>
      <c r="M158" s="23" t="s">
        <v>252</v>
      </c>
      <c r="N158" s="13"/>
    </row>
    <row r="159" spans="1:14" ht="45" x14ac:dyDescent="0.25">
      <c r="A159" s="21" t="s">
        <v>232</v>
      </c>
      <c r="B159" s="21" t="s">
        <v>232</v>
      </c>
      <c r="C159" s="4" t="str">
        <f t="shared" si="0"/>
        <v>Επί Πτυχίω</v>
      </c>
      <c r="D159" s="22" t="s">
        <v>92</v>
      </c>
      <c r="E159" s="23" t="s">
        <v>184</v>
      </c>
      <c r="F159" s="14">
        <f t="shared" si="27"/>
        <v>46280</v>
      </c>
      <c r="G159" s="24">
        <f t="shared" ref="G159:H159" si="30">G105</f>
        <v>0.375</v>
      </c>
      <c r="H159" s="24">
        <f t="shared" si="30"/>
        <v>0.5</v>
      </c>
      <c r="I159" s="4" t="str">
        <f t="shared" si="1"/>
        <v>09:00 - 12:00</v>
      </c>
      <c r="J159" s="4" t="str">
        <f t="shared" si="29"/>
        <v>Νέες Αίθουσες</v>
      </c>
      <c r="K159" s="25" t="str">
        <f ca="1">IFERROR(__xludf.DUMMYFUNCTION("IF($E159="""", """", IF(OR(IFERROR(REGEXMATCH(TEXT($F159, ""dd/mm/yyyy""), SUBSTITUTE($G$2, "", "", ""|"")), FALSE), $F159=$G$4, $F159=$H$4), ""Εξέταση σε σ/κ ή αργία"", """"))"),"")</f>
        <v/>
      </c>
      <c r="L159" s="25" t="str">
        <f ca="1">IFERROR(__xludf.DUMMYFUNCTION("IFERROR(IF(ISNUMBER(SEARCH(TEXTJOIN("", "", TRUE, FILTER($E$8:$E$204, $F$8:$F$204 = F159, $J$8:$J$204 = J159, $G$8:$G$204 &lt; H159, $H$8:$H$204 &gt; G159, ROW($E$8:$E$204) &lt;&gt; ROW(E159))), #REF!)), """", TEXTJOIN("", "", TRUE, FILTER($E$8:$E$204, $F$8:$F$204 = "&amp;"F159, $J$8:$J$204 = J159, $G$8:$G$204 &lt; H159, $H$8:$H$204 &gt; G159, ROW($E$8:$E$204) &lt;&gt; ROW(E159)))), """")"),"Πρακτική Άσκηση στην Παθολογία Παραγωγικών Ζώων Ι")</f>
        <v>Πρακτική Άσκηση στην Παθολογία Παραγωγικών Ζώων Ι</v>
      </c>
      <c r="M159" s="23" t="s">
        <v>183</v>
      </c>
      <c r="N159" s="13"/>
    </row>
    <row r="160" spans="1:14" ht="45" x14ac:dyDescent="0.25">
      <c r="A160" s="21" t="s">
        <v>232</v>
      </c>
      <c r="B160" s="21" t="s">
        <v>232</v>
      </c>
      <c r="C160" s="4" t="str">
        <f t="shared" si="0"/>
        <v>Επί Πτυχίω</v>
      </c>
      <c r="D160" s="22" t="s">
        <v>92</v>
      </c>
      <c r="E160" s="23" t="s">
        <v>220</v>
      </c>
      <c r="F160" s="14">
        <f t="shared" ref="F160:H160" si="31">F126</f>
        <v>46279</v>
      </c>
      <c r="G160" s="24">
        <f t="shared" si="31"/>
        <v>0.375</v>
      </c>
      <c r="H160" s="24">
        <f t="shared" si="31"/>
        <v>0.66666666666666663</v>
      </c>
      <c r="I160" s="4" t="str">
        <f t="shared" si="1"/>
        <v>09:00 - 16:00</v>
      </c>
      <c r="J160" s="4" t="str">
        <f>J126</f>
        <v>Παθολογική Κλινική</v>
      </c>
      <c r="K160" s="25" t="str">
        <f ca="1">IFERROR(__xludf.DUMMYFUNCTION("IF($E160="""", """", IF(OR(IFERROR(REGEXMATCH(TEXT($F160, ""dd/mm/yyyy""), SUBSTITUTE($G$2, "", "", ""|"")), FALSE), $F160=$G$4, $F160=$H$4), ""Εξέταση σε σ/κ ή αργία"", """"))"),"")</f>
        <v/>
      </c>
      <c r="L160" s="25" t="str">
        <f ca="1">IFERROR(__xludf.DUMMYFUNCTION("IFERROR(IF(ISNUMBER(SEARCH(TEXTJOIN("", "", TRUE, FILTER($E$8:$E$204, $F$8:$F$204 = F160, $J$8:$J$204 = J160, $G$8:$G$204 &lt; H160, $H$8:$H$204 &gt; G160, ROW($E$8:$E$204) &lt;&gt; ROW(E160))), #REF!)), """", TEXTJOIN("", "", TRUE, FILTER($E$8:$E$204, $F$8:$F$204 = "&amp;"F160, $J$8:$J$204 = J160, $G$8:$G$204 &lt; H160, $H$8:$H$204 &gt; G160, ROW($E$8:$E$204) &lt;&gt; ROW(E160)))), """")"),"Πρακτική Άσκηση στην Παθολογία Παραγωγικών Ζώων ΙΙ")</f>
        <v>Πρακτική Άσκηση στην Παθολογία Παραγωγικών Ζώων ΙΙ</v>
      </c>
      <c r="M160" s="23" t="s">
        <v>219</v>
      </c>
      <c r="N160" s="13"/>
    </row>
    <row r="161" spans="1:14" ht="45" x14ac:dyDescent="0.25">
      <c r="A161" s="21" t="s">
        <v>232</v>
      </c>
      <c r="B161" s="21" t="s">
        <v>232</v>
      </c>
      <c r="C161" s="4" t="str">
        <f t="shared" si="0"/>
        <v>Επί Πτυχίω</v>
      </c>
      <c r="D161" s="22" t="s">
        <v>87</v>
      </c>
      <c r="E161" s="23" t="s">
        <v>222</v>
      </c>
      <c r="F161" s="14">
        <f t="shared" ref="F161:H161" si="32">F128</f>
        <v>46273</v>
      </c>
      <c r="G161" s="24">
        <f t="shared" si="32"/>
        <v>0.375</v>
      </c>
      <c r="H161" s="24">
        <f t="shared" si="32"/>
        <v>0.5</v>
      </c>
      <c r="I161" s="4" t="str">
        <f t="shared" si="1"/>
        <v>09:00 - 12:00</v>
      </c>
      <c r="J161" s="4" t="str">
        <f t="shared" ref="J161:J162" si="33">J128</f>
        <v>Εργαστήριο Υγιεινής</v>
      </c>
      <c r="K161" s="25" t="str">
        <f ca="1">IFERROR(__xludf.DUMMYFUNCTION("IF($E161="""", """", IF(OR(IFERROR(REGEXMATCH(TEXT($F161, ""dd/mm/yyyy""), SUBSTITUTE($G$2, "", "", ""|"")), FALSE), $F161=$G$4, $F161=$H$4), ""Εξέταση σε σ/κ ή αργία"", """"))"),"")</f>
        <v/>
      </c>
      <c r="L161" s="25" t="str">
        <f ca="1">IFERROR(__xludf.DUMMYFUNCTION("IFERROR(IF(ISNUMBER(SEARCH(TEXTJOIN("", "", TRUE, FILTER($E$8:$E$204, $F$8:$F$204 = F161, $J$8:$J$204 = J161, $G$8:$G$204 &lt; H161, $H$8:$H$204 &gt; G161, ROW($E$8:$E$204) &lt;&gt; ROW(E161))), #REF!)), """", TEXTJOIN("", "", TRUE, FILTER($E$8:$E$204, $F$8:$F$204 = "&amp;"F161, $J$8:$J$204 = J161, $G$8:$G$204 &lt; H161, $H$8:$H$204 &gt; G161, ROW($E$8:$E$204) &lt;&gt; ROW(E161)))), """")"),"Πρακτική Άσκηση στην Υγιεινή Τροφίμων ΙΙ (Εργαστήριο)")</f>
        <v>Πρακτική Άσκηση στην Υγιεινή Τροφίμων ΙΙ (Εργαστήριο)</v>
      </c>
      <c r="M161" s="23" t="s">
        <v>221</v>
      </c>
      <c r="N161" s="13"/>
    </row>
    <row r="162" spans="1:14" ht="45" x14ac:dyDescent="0.25">
      <c r="A162" s="21" t="s">
        <v>232</v>
      </c>
      <c r="B162" s="21" t="s">
        <v>232</v>
      </c>
      <c r="C162" s="4" t="str">
        <f t="shared" si="0"/>
        <v>Επί Πτυχίω</v>
      </c>
      <c r="D162" s="22" t="s">
        <v>87</v>
      </c>
      <c r="E162" s="23" t="s">
        <v>225</v>
      </c>
      <c r="F162" s="14">
        <f t="shared" ref="F162:H162" si="34">F129</f>
        <v>46272</v>
      </c>
      <c r="G162" s="24">
        <f t="shared" si="34"/>
        <v>0.33333333333333331</v>
      </c>
      <c r="H162" s="24">
        <f t="shared" si="34"/>
        <v>0.45833333333333331</v>
      </c>
      <c r="I162" s="4" t="str">
        <f t="shared" si="1"/>
        <v>08:00 - 11:00</v>
      </c>
      <c r="J162" s="4" t="str">
        <f t="shared" si="33"/>
        <v>Σφαγείο</v>
      </c>
      <c r="K162" s="25" t="str">
        <f ca="1">IFERROR(__xludf.DUMMYFUNCTION("IF($E162="""", """", IF(OR(IFERROR(REGEXMATCH(TEXT($F162, ""dd/mm/yyyy""), SUBSTITUTE($G$2, "", "", ""|"")), FALSE), $F162=$G$4, $F162=$H$4), ""Εξέταση σε σ/κ ή αργία"", """"))"),"")</f>
        <v/>
      </c>
      <c r="L162" s="25" t="str">
        <f ca="1">IFERROR(__xludf.DUMMYFUNCTION("IFERROR(IF(ISNUMBER(SEARCH(TEXTJOIN("", "", TRUE, FILTER($E$8:$E$204, $F$8:$F$204 = F162, $J$8:$J$204 = J162, $G$8:$G$204 &lt; H162, $H$8:$H$204 &gt; G162, ROW($E$8:$E$204) &lt;&gt; ROW(E162))), #REF!)), """", TEXTJOIN("", "", TRUE, FILTER($E$8:$E$204, $F$8:$F$204 = "&amp;"F162, $J$8:$J$204 = J162, $G$8:$G$204 &lt; H162, $H$8:$H$204 &gt; G162, ROW($E$8:$E$204) &lt;&gt; ROW(E162)))), """")"),"Πρακτική Άσκηση στην Υγιεινή Τροφίμων ΙΙ (Σφαγείο)")</f>
        <v>Πρακτική Άσκηση στην Υγιεινή Τροφίμων ΙΙ (Σφαγείο)</v>
      </c>
      <c r="M162" s="23" t="s">
        <v>223</v>
      </c>
      <c r="N162" s="13"/>
    </row>
    <row r="163" spans="1:14" ht="225" x14ac:dyDescent="0.25">
      <c r="A163" s="21" t="s">
        <v>232</v>
      </c>
      <c r="B163" s="21" t="s">
        <v>232</v>
      </c>
      <c r="C163" s="4" t="str">
        <f t="shared" si="0"/>
        <v>Επί Πτυχίω</v>
      </c>
      <c r="D163" s="22" t="s">
        <v>107</v>
      </c>
      <c r="E163" s="23" t="s">
        <v>152</v>
      </c>
      <c r="F163" s="14">
        <f>F$85</f>
        <v>46281</v>
      </c>
      <c r="G163" s="26">
        <f t="shared" ref="G163:H163" si="35">G85</f>
        <v>0.375</v>
      </c>
      <c r="H163" s="24">
        <f t="shared" si="35"/>
        <v>0.5</v>
      </c>
      <c r="I163" s="4"/>
      <c r="J163" s="4" t="str">
        <f>J85</f>
        <v>Αμφιθέατρα</v>
      </c>
      <c r="K163" s="25" t="str">
        <f ca="1">IFERROR(__xludf.DUMMYFUNCTION("IF($E163="""", """", IF(OR(IFERROR(REGEXMATCH(TEXT($F163, ""dd/mm/yyyy""), SUBSTITUTE($G$2, "", "", ""|"")), FALSE), $F163=$G$4, $F163=$H$4), ""Εξέταση σε σ/κ ή αργία"", """"))"),"")</f>
        <v/>
      </c>
      <c r="L163" s="25" t="str">
        <f ca="1">IFERROR(__xludf.DUMMYFUNCTION("IFERROR(IF(ISNUMBER(SEARCH(TEXTJOIN("", "", TRUE, FILTER($E$8:$E$204, $F$8:$F$204 = F163, $J$8:$J$204 = J163, $G$8:$G$204 &lt; H163, $H$8:$H$204 &gt; G163, ROW($E$8:$E$204) &lt;&gt; ROW(E163))), #REF!)), """", TEXTJOIN("", "", TRUE, FILTER($E$8:$E$204, $F$8:$F$204 = "&amp;"F163, $J$8:$J$204 = J163, $G$8:$G$204 &lt; H163, $H$8:$H$204 &gt; G163, ROW($E$8:$E$204) &lt;&gt; ROW(E163)))), """")"),"Μαιευτική &amp; Αναπαραγωγή Ι, Φυσιολογία &amp; Παθολογία Αναπαραγωγής Αρσενικών Θηλαστικών Ζώων &amp; Τεχνητή Σπερματέγχυση, Μαιευτική &amp; Αναπαραγωγή ΙV, Πρακτική Άσκηση στη Μαιευτική &amp; Αναπαραγωγή των Κατοικιδίων Θηλαστικών Ι")</f>
        <v>Μαιευτική &amp; Αναπαραγωγή Ι, Φυσιολογία &amp; Παθολογία Αναπαραγωγής Αρσενικών Θηλαστικών Ζώων &amp; Τεχνητή Σπερματέγχυση, Μαιευτική &amp; Αναπαραγωγή ΙV, Πρακτική Άσκηση στη Μαιευτική &amp; Αναπαραγωγή των Κατοικιδίων Θηλαστικών Ι</v>
      </c>
      <c r="M163" s="23" t="s">
        <v>151</v>
      </c>
      <c r="N163" s="13"/>
    </row>
    <row r="164" spans="1:14" ht="60" x14ac:dyDescent="0.25">
      <c r="A164" s="21" t="s">
        <v>232</v>
      </c>
      <c r="B164" s="21" t="s">
        <v>232</v>
      </c>
      <c r="C164" s="4" t="str">
        <f t="shared" si="0"/>
        <v>Επί Πτυχίω</v>
      </c>
      <c r="D164" s="22" t="s">
        <v>107</v>
      </c>
      <c r="E164" s="23" t="s">
        <v>206</v>
      </c>
      <c r="F164" s="14">
        <f t="shared" ref="F164:H164" si="36">F119</f>
        <v>46282</v>
      </c>
      <c r="G164" s="26">
        <f t="shared" si="36"/>
        <v>0.45833333333333331</v>
      </c>
      <c r="H164" s="24">
        <f t="shared" si="36"/>
        <v>0.58333333333333337</v>
      </c>
      <c r="I164" s="4" t="str">
        <f t="shared" ref="I164:I204" si="37">IF(G164="","",TEXT(G164, "hh:mm") &amp; " - " &amp; TEXT(H164, "hh:mm"))</f>
        <v>11:00 - 14:00</v>
      </c>
      <c r="J164" s="4" t="str">
        <f t="shared" ref="J164:J166" si="38">J119</f>
        <v>Αμφιθέατρα</v>
      </c>
      <c r="K164" s="25" t="str">
        <f ca="1">IFERROR(__xludf.DUMMYFUNCTION("IF($E164="""", """", IF(OR(IFERROR(REGEXMATCH(TEXT($F164, ""dd/mm/yyyy""), SUBSTITUTE($G$2, "", "", ""|"")), FALSE), $F164=$G$4, $F164=$H$4), ""Εξέταση σε σ/κ ή αργία"", """"))"),"")</f>
        <v/>
      </c>
      <c r="L164" s="25" t="str">
        <f ca="1">IFERROR(__xludf.DUMMYFUNCTION("IFERROR(IF(ISNUMBER(SEARCH(TEXTJOIN("", "", TRUE, FILTER($E$8:$E$204, $F$8:$F$204 = F164, $J$8:$J$204 = J164, $G$8:$G$204 &lt; H164, $H$8:$H$204 &gt; G164, ROW($E$8:$E$204) &lt;&gt; ROW(E164))), #REF!)), """", TEXTJOIN("", "", TRUE, FILTER($E$8:$E$204, $F$8:$F$204 = "&amp;"F164, $J$8:$J$204 = J164, $G$8:$G$204 &lt; H164, $H$8:$H$204 &gt; G164, ROW($E$8:$E$204) &lt;&gt; ROW(E164)))), """")"),"Πρακτική Άσκηση στη Μαιευτική &amp; Αναπαραγωγή ΙΙ (Γραπτά ΖΣ)")</f>
        <v>Πρακτική Άσκηση στη Μαιευτική &amp; Αναπαραγωγή ΙΙ (Γραπτά ΖΣ)</v>
      </c>
      <c r="M164" s="23" t="s">
        <v>205</v>
      </c>
      <c r="N164" s="13"/>
    </row>
    <row r="165" spans="1:14" ht="75" x14ac:dyDescent="0.25">
      <c r="A165" s="21" t="s">
        <v>232</v>
      </c>
      <c r="B165" s="21" t="s">
        <v>232</v>
      </c>
      <c r="C165" s="4" t="str">
        <f t="shared" si="0"/>
        <v>Επί Πτυχίω</v>
      </c>
      <c r="D165" s="22" t="s">
        <v>107</v>
      </c>
      <c r="E165" s="23" t="s">
        <v>208</v>
      </c>
      <c r="F165" s="14">
        <f t="shared" ref="F165:H165" si="39">F120</f>
        <v>46282</v>
      </c>
      <c r="G165" s="26">
        <f t="shared" si="39"/>
        <v>0.375</v>
      </c>
      <c r="H165" s="24">
        <f t="shared" si="39"/>
        <v>0.45833333333333331</v>
      </c>
      <c r="I165" s="4" t="str">
        <f t="shared" si="37"/>
        <v>09:00 - 11:00</v>
      </c>
      <c r="J165" s="4" t="str">
        <f t="shared" si="38"/>
        <v>Μεγάλο Αμφιθέατρο</v>
      </c>
      <c r="K165" s="25" t="str">
        <f ca="1">IFERROR(__xludf.DUMMYFUNCTION("IF($E165="""", """", IF(OR(IFERROR(REGEXMATCH(TEXT($F165, ""dd/mm/yyyy""), SUBSTITUTE($G$2, "", "", ""|"")), FALSE), $F165=$G$4, $F165=$H$4), ""Εξέταση σε σ/κ ή αργία"", """"))"),"")</f>
        <v/>
      </c>
      <c r="L165" s="25" t="str">
        <f ca="1">IFERROR(__xludf.DUMMYFUNCTION("IFERROR(IF(ISNUMBER(SEARCH(TEXTJOIN("", "", TRUE, FILTER($E$8:$E$204, $F$8:$F$204 = F165, $J$8:$J$204 = J165, $G$8:$G$204 &lt; H165, $H$8:$H$204 &gt; G165, ROW($E$8:$E$204) &lt;&gt; ROW(E165))), #REF!)), """", TEXTJOIN("", "", TRUE, FILTER($E$8:$E$204, $F$8:$F$204 = "&amp;"F165, $J$8:$J$204 = J165, $G$8:$G$204 &lt; H165, $H$8:$H$204 &gt; G165, ROW($E$8:$E$204) &lt;&gt; ROW(E165)))), """")"),"Πρακτική Άσκηση στη Μαιευτική &amp; Αναπαραγωγή ΙΙ (Γραπτά Μικρά Μηρυκαστικά)")</f>
        <v>Πρακτική Άσκηση στη Μαιευτική &amp; Αναπαραγωγή ΙΙ (Γραπτά Μικρά Μηρυκαστικά)</v>
      </c>
      <c r="M165" s="23" t="s">
        <v>207</v>
      </c>
      <c r="N165" s="13"/>
    </row>
    <row r="166" spans="1:14" ht="60" x14ac:dyDescent="0.25">
      <c r="A166" s="21" t="s">
        <v>232</v>
      </c>
      <c r="B166" s="21" t="s">
        <v>232</v>
      </c>
      <c r="C166" s="4" t="str">
        <f t="shared" si="0"/>
        <v>Επί Πτυχίω</v>
      </c>
      <c r="D166" s="22" t="s">
        <v>107</v>
      </c>
      <c r="E166" s="23" t="s">
        <v>211</v>
      </c>
      <c r="F166" s="14">
        <f t="shared" ref="F166:H166" si="40">F121</f>
        <v>46283</v>
      </c>
      <c r="G166" s="26">
        <f t="shared" si="40"/>
        <v>0.375</v>
      </c>
      <c r="H166" s="24">
        <f t="shared" si="40"/>
        <v>0.58333333333333337</v>
      </c>
      <c r="I166" s="4" t="str">
        <f t="shared" si="37"/>
        <v>09:00 - 14:00</v>
      </c>
      <c r="J166" s="4" t="str">
        <f t="shared" si="38"/>
        <v>Μαιευτική Κλινική</v>
      </c>
      <c r="K166" s="25" t="str">
        <f ca="1">IFERROR(__xludf.DUMMYFUNCTION("IF($E166="""", """", IF(OR(IFERROR(REGEXMATCH(TEXT($F166, ""dd/mm/yyyy""), SUBSTITUTE($G$2, "", "", ""|"")), FALSE), $F166=$G$4, $F166=$H$4), ""Εξέταση σε σ/κ ή αργία"", """"))"),"")</f>
        <v/>
      </c>
      <c r="L166" s="25" t="str">
        <f ca="1">IFERROR(__xludf.DUMMYFUNCTION("IFERROR(IF(ISNUMBER(SEARCH(TEXTJOIN("", "", TRUE, FILTER($E$8:$E$204, $F$8:$F$204 = F166, $J$8:$J$204 = J166, $G$8:$G$204 &lt; H166, $H$8:$H$204 &gt; G166, ROW($E$8:$E$204) &lt;&gt; ROW(E166))), #REF!)), """", TEXTJOIN("", "", TRUE, FILTER($E$8:$E$204, $F$8:$F$204 = "&amp;"F166, $J$8:$J$204 = J166, $G$8:$G$204 &lt; H166, $H$8:$H$204 &gt; G166, ROW($E$8:$E$204) &lt;&gt; ROW(E166)))), """")"),"Πρακτική Άσκηση στη Μαιευτική &amp; Αναπαραγωγή ΙΙ (Πρακτικά Βοοειδή)")</f>
        <v>Πρακτική Άσκηση στη Μαιευτική &amp; Αναπαραγωγή ΙΙ (Πρακτικά Βοοειδή)</v>
      </c>
      <c r="M166" s="23" t="s">
        <v>209</v>
      </c>
      <c r="N166" s="13"/>
    </row>
    <row r="167" spans="1:14" ht="30" hidden="1" x14ac:dyDescent="0.25">
      <c r="A167" s="21" t="s">
        <v>232</v>
      </c>
      <c r="B167" s="21" t="s">
        <v>232</v>
      </c>
      <c r="C167" s="4" t="str">
        <f t="shared" si="0"/>
        <v>Επί Πτυχίω</v>
      </c>
      <c r="D167" s="22" t="s">
        <v>107</v>
      </c>
      <c r="E167" s="23" t="s">
        <v>253</v>
      </c>
      <c r="F167" s="14"/>
      <c r="G167" s="26"/>
      <c r="H167" s="24"/>
      <c r="I167" s="4" t="str">
        <f t="shared" si="37"/>
        <v/>
      </c>
      <c r="J167" s="4" t="s">
        <v>210</v>
      </c>
      <c r="K167" s="25" t="str">
        <f ca="1">IFERROR(__xludf.DUMMYFUNCTION("IF($E167="""", """", IF(OR(IFERROR(REGEXMATCH(TEXT($F167, ""dd/mm/yyyy""), SUBSTITUTE($G$2, "", "", ""|"")), FALSE), $F167=$G$4, $F167=$H$4), ""Εξέταση σε σ/κ ή αργία"", """"))"),"")</f>
        <v/>
      </c>
      <c r="L167" s="25" t="str">
        <f ca="1">IFERROR(__xludf.DUMMYFUNCTION("IFERROR(IF(ISNUMBER(SEARCH(TEXTJOIN("", "", TRUE, FILTER($E$8:$E$204, $F$8:$F$204 = F167, $J$8:$J$204 = J167, $G$8:$G$204 &lt; H167, $H$8:$H$204 &gt; G167, ROW($E$8:$E$204) &lt;&gt; ROW(E167))), #REF!)), """", TEXTJOIN("", "", TRUE, FILTER($E$8:$E$204, $F$8:$F$204 = "&amp;"F167, $J$8:$J$204 = J167, $G$8:$G$204 &lt; H167, $H$8:$H$204 &gt; G167, ROW($E$8:$E$204) &lt;&gt; ROW(E167)))), """")"),"")</f>
        <v/>
      </c>
      <c r="M167" s="23" t="s">
        <v>212</v>
      </c>
      <c r="N167" s="13"/>
    </row>
    <row r="168" spans="1:14" ht="45" x14ac:dyDescent="0.25">
      <c r="A168" s="21" t="s">
        <v>232</v>
      </c>
      <c r="B168" s="21" t="s">
        <v>232</v>
      </c>
      <c r="C168" s="4" t="str">
        <f t="shared" si="0"/>
        <v>Επί Πτυχίω</v>
      </c>
      <c r="D168" s="22" t="s">
        <v>83</v>
      </c>
      <c r="E168" s="23" t="s">
        <v>156</v>
      </c>
      <c r="F168" s="14">
        <f t="shared" ref="F168:H168" si="41">F87</f>
        <v>46272</v>
      </c>
      <c r="G168" s="24">
        <f t="shared" si="41"/>
        <v>0.5</v>
      </c>
      <c r="H168" s="24">
        <f t="shared" si="41"/>
        <v>0.625</v>
      </c>
      <c r="I168" s="4" t="str">
        <f t="shared" si="37"/>
        <v>12:00 - 15:00</v>
      </c>
      <c r="J168" s="4" t="str">
        <f>J87</f>
        <v>Νέες Αίθουσες</v>
      </c>
      <c r="K168" s="25" t="str">
        <f ca="1">IFERROR(__xludf.DUMMYFUNCTION("IF($E168="""", """", IF(OR(IFERROR(REGEXMATCH(TEXT($F168, ""dd/mm/yyyy""), SUBSTITUTE($G$2, "", "", ""|"")), FALSE), $F168=$G$4, $F168=$H$4), ""Εξέταση σε σ/κ ή αργία"", """"))"),"")</f>
        <v/>
      </c>
      <c r="L168" s="25" t="str">
        <f ca="1">IFERROR(__xludf.DUMMYFUNCTION("IFERROR(IF(ISNUMBER(SEARCH(TEXTJOIN("", "", TRUE, FILTER($E$8:$E$204, $F$8:$F$204 = F168, $J$8:$J$204 = J168, $G$8:$G$204 &lt; H168, $H$8:$H$204 &gt; G168, ROW($E$8:$E$204) &lt;&gt; ROW(E168))), #REF!)), """", TEXTJOIN("", "", TRUE, FILTER($E$8:$E$204, $F$8:$F$204 = "&amp;"F168, $J$8:$J$204 = J168, $G$8:$G$204 &lt; H168, $H$8:$H$204 &gt; G168, ROW($E$8:$E$204) &lt;&gt; ROW(E168)))), """")"),"Διαγνωστική Παθολογική Ανατομική - Κτηνιατροδικαστική ΙΙ")</f>
        <v>Διαγνωστική Παθολογική Ανατομική - Κτηνιατροδικαστική ΙΙ</v>
      </c>
      <c r="M168" s="23" t="s">
        <v>155</v>
      </c>
      <c r="N168" s="13"/>
    </row>
    <row r="169" spans="1:14" ht="45" x14ac:dyDescent="0.25">
      <c r="A169" s="21" t="s">
        <v>232</v>
      </c>
      <c r="B169" s="21" t="s">
        <v>232</v>
      </c>
      <c r="C169" s="4" t="str">
        <f t="shared" si="0"/>
        <v>Επί Πτυχίω</v>
      </c>
      <c r="D169" s="22" t="s">
        <v>83</v>
      </c>
      <c r="E169" s="23" t="s">
        <v>140</v>
      </c>
      <c r="F169" s="14">
        <f t="shared" ref="F169:H169" si="42">F78</f>
        <v>46273</v>
      </c>
      <c r="G169" s="24">
        <f t="shared" si="42"/>
        <v>0.41666666666666669</v>
      </c>
      <c r="H169" s="24">
        <f t="shared" si="42"/>
        <v>0.54166666666666663</v>
      </c>
      <c r="I169" s="4" t="str">
        <f t="shared" si="37"/>
        <v>10:00 - 13:00</v>
      </c>
      <c r="J169" s="4" t="str">
        <f>J78</f>
        <v>Νέες Αίθουσες</v>
      </c>
      <c r="K169" s="25" t="str">
        <f ca="1">IFERROR(__xludf.DUMMYFUNCTION("IF($E169="""", """", IF(OR(IFERROR(REGEXMATCH(TEXT($F169, ""dd/mm/yyyy""), SUBSTITUTE($G$2, "", "", ""|"")), FALSE), $F169=$G$4, $F169=$H$4), ""Εξέταση σε σ/κ ή αργία"", """"))"),"")</f>
        <v/>
      </c>
      <c r="L169" s="25" t="str">
        <f ca="1">IFERROR(__xludf.DUMMYFUNCTION("IFERROR(IF(ISNUMBER(SEARCH(TEXTJOIN("", "", TRUE, FILTER($E$8:$E$204, $F$8:$F$204 = F169, $J$8:$J$204 = J169, $G$8:$G$204 &lt; H169, $H$8:$H$204 &gt; G169, ROW($E$8:$E$204) &lt;&gt; ROW(E169))), #REF!)), """", TEXTJOIN("", "", TRUE, FILTER($E$8:$E$204, $F$8:$F$204 = "&amp;"F169, $J$8:$J$204 = J169, $G$8:$G$204 &lt; H169, $H$8:$H$204 &gt; G169, ROW($E$8:$E$204) &lt;&gt; ROW(E169)))), """")"),"Διαγνωστική Παθολογική Ανατομική - Κτηνιατροδικαστική Ι")</f>
        <v>Διαγνωστική Παθολογική Ανατομική - Κτηνιατροδικαστική Ι</v>
      </c>
      <c r="M169" s="23" t="s">
        <v>139</v>
      </c>
      <c r="N169" s="13"/>
    </row>
    <row r="170" spans="1:14" ht="30" x14ac:dyDescent="0.25">
      <c r="A170" s="21" t="s">
        <v>232</v>
      </c>
      <c r="B170" s="21" t="s">
        <v>232</v>
      </c>
      <c r="C170" s="4" t="str">
        <f t="shared" si="0"/>
        <v>Επί Πτυχίω</v>
      </c>
      <c r="D170" s="22" t="s">
        <v>83</v>
      </c>
      <c r="E170" s="23" t="s">
        <v>254</v>
      </c>
      <c r="F170" s="14">
        <v>46267</v>
      </c>
      <c r="G170" s="24">
        <v>0.75</v>
      </c>
      <c r="H170" s="24">
        <v>0.875</v>
      </c>
      <c r="I170" s="4" t="str">
        <f t="shared" si="37"/>
        <v>18:00 - 21:00</v>
      </c>
      <c r="J170" s="4" t="s">
        <v>85</v>
      </c>
      <c r="K170" s="25" t="str">
        <f ca="1">IFERROR(__xludf.DUMMYFUNCTION("IF($E170="""", """", IF(OR(IFERROR(REGEXMATCH(TEXT($F170, ""dd/mm/yyyy""), SUBSTITUTE($G$2, "", "", ""|"")), FALSE), $F170=$G$4, $F170=$H$4), ""Εξέταση σε σ/κ ή αργία"", """"))"),"")</f>
        <v/>
      </c>
      <c r="L170" s="25" t="str">
        <f ca="1">IFERROR(__xludf.DUMMYFUNCTION("IFERROR(IF(ISNUMBER(SEARCH(TEXTJOIN("", "", TRUE, FILTER($E$8:$E$204, $F$8:$F$204 = F170, $J$8:$J$204 = J170, $G$8:$G$204 &lt; H170, $H$8:$H$204 &gt; G170, ROW($E$8:$E$204) &lt;&gt; ROW(E170))), #REF!)), """", TEXTJOIN("", "", TRUE, FILTER($E$8:$E$204, $F$8:$F$204 = "&amp;"F170, $J$8:$J$204 = J170, $G$8:$G$204 &lt; H170, $H$8:$H$204 &gt; G170, ROW($E$8:$E$204) &lt;&gt; ROW(E170)))), """")"),"")</f>
        <v/>
      </c>
      <c r="M170" s="23"/>
      <c r="N170" s="13"/>
    </row>
    <row r="171" spans="1:14" ht="30" x14ac:dyDescent="0.25">
      <c r="A171" s="21" t="s">
        <v>232</v>
      </c>
      <c r="B171" s="21" t="s">
        <v>232</v>
      </c>
      <c r="C171" s="4" t="str">
        <f t="shared" si="0"/>
        <v>Επί Πτυχίω</v>
      </c>
      <c r="D171" s="22" t="s">
        <v>115</v>
      </c>
      <c r="E171" s="23" t="s">
        <v>138</v>
      </c>
      <c r="F171" s="14">
        <f t="shared" ref="F171:H171" si="43">F77</f>
        <v>46268</v>
      </c>
      <c r="G171" s="24">
        <f t="shared" si="43"/>
        <v>0.5</v>
      </c>
      <c r="H171" s="24">
        <f t="shared" si="43"/>
        <v>0.58333333333333337</v>
      </c>
      <c r="I171" s="4" t="str">
        <f t="shared" si="37"/>
        <v>12:00 - 14:00</v>
      </c>
      <c r="J171" s="4" t="str">
        <f>J77</f>
        <v>Αμφιθέατρα</v>
      </c>
      <c r="K171" s="25" t="str">
        <f ca="1">IFERROR(__xludf.DUMMYFUNCTION("IF($E171="""", """", IF(OR(IFERROR(REGEXMATCH(TEXT($F171, ""dd/mm/yyyy""), SUBSTITUTE($G$2, "", "", ""|"")), FALSE), $F171=$G$4, $F171=$H$4), ""Εξέταση σε σ/κ ή αργία"", """"))"),"")</f>
        <v/>
      </c>
      <c r="L171" s="25" t="str">
        <f ca="1">IFERROR(__xludf.DUMMYFUNCTION("IFERROR(IF(ISNUMBER(SEARCH(TEXTJOIN("", "", TRUE, FILTER($E$8:$E$204, $F$8:$F$204 = F171, $J$8:$J$204 = J171, $G$8:$G$204 &lt; H171, $H$8:$H$204 &gt; G171, ROW($E$8:$E$204) &lt;&gt; ROW(E171))), #REF!)), """", TEXTJOIN("", "", TRUE, FILTER($E$8:$E$204, $F$8:$F$204 = "&amp;"F171, $J$8:$J$204 = J171, $G$8:$G$204 &lt; H171, $H$8:$H$204 &gt; G171, ROW($E$8:$E$204) &lt;&gt; ROW(E171)))), """")"),"Αναισθησιολογία &amp; Εντατική Θεραπεία")</f>
        <v>Αναισθησιολογία &amp; Εντατική Θεραπεία</v>
      </c>
      <c r="M171" s="23" t="s">
        <v>137</v>
      </c>
      <c r="N171" s="13"/>
    </row>
    <row r="172" spans="1:14" ht="30" x14ac:dyDescent="0.25">
      <c r="A172" s="21" t="s">
        <v>232</v>
      </c>
      <c r="B172" s="21" t="s">
        <v>232</v>
      </c>
      <c r="C172" s="4" t="str">
        <f t="shared" si="0"/>
        <v>Επί Πτυχίω</v>
      </c>
      <c r="D172" s="22" t="s">
        <v>115</v>
      </c>
      <c r="E172" s="23" t="s">
        <v>143</v>
      </c>
      <c r="F172" s="14">
        <f t="shared" ref="F172:H172" si="44">F80</f>
        <v>46267</v>
      </c>
      <c r="G172" s="24">
        <f t="shared" si="44"/>
        <v>0.5</v>
      </c>
      <c r="H172" s="24">
        <f t="shared" si="44"/>
        <v>0.58333333333333337</v>
      </c>
      <c r="I172" s="4" t="str">
        <f t="shared" si="37"/>
        <v>12:00 - 14:00</v>
      </c>
      <c r="J172" s="4" t="str">
        <f>J80</f>
        <v>Αμφιθέατρα</v>
      </c>
      <c r="K172" s="25" t="str">
        <f ca="1">IFERROR(__xludf.DUMMYFUNCTION("IF($E172="""", """", IF(OR(IFERROR(REGEXMATCH(TEXT($F172, ""dd/mm/yyyy""), SUBSTITUTE($G$2, "", "", ""|"")), FALSE), $F172=$G$4, $F172=$H$4), ""Εξέταση σε σ/κ ή αργία"", """"))"),"")</f>
        <v/>
      </c>
      <c r="L172" s="25" t="str">
        <f ca="1">IFERROR(__xludf.DUMMYFUNCTION("IFERROR(IF(ISNUMBER(SEARCH(TEXTJOIN("", "", TRUE, FILTER($E$8:$E$204, $F$8:$F$204 = F172, $J$8:$J$204 = J172, $G$8:$G$204 &lt; H172, $H$8:$H$204 &gt; G172, ROW($E$8:$E$204) &lt;&gt; ROW(E172))), #REF!)), """", TEXTJOIN("", "", TRUE, FILTER($E$8:$E$204, $F$8:$F$204 = "&amp;"F172, $J$8:$J$204 = J172, $G$8:$G$204 &lt; H172, $H$8:$H$204 &gt; G172, ROW($E$8:$E$204) &lt;&gt; ROW(E172)))), """")"),"Ορθοπεδική Χειρουργική")</f>
        <v>Ορθοπεδική Χειρουργική</v>
      </c>
      <c r="M172" s="23" t="s">
        <v>142</v>
      </c>
      <c r="N172" s="13"/>
    </row>
    <row r="173" spans="1:14" ht="30" x14ac:dyDescent="0.25">
      <c r="A173" s="21" t="s">
        <v>232</v>
      </c>
      <c r="B173" s="21" t="s">
        <v>232</v>
      </c>
      <c r="C173" s="4" t="str">
        <f t="shared" si="0"/>
        <v>Επί Πτυχίω</v>
      </c>
      <c r="D173" s="22" t="s">
        <v>115</v>
      </c>
      <c r="E173" s="23" t="s">
        <v>164</v>
      </c>
      <c r="F173" s="14">
        <f t="shared" ref="F173:H173" si="45">F94</f>
        <v>46266</v>
      </c>
      <c r="G173" s="24">
        <f t="shared" si="45"/>
        <v>0.5</v>
      </c>
      <c r="H173" s="24">
        <f t="shared" si="45"/>
        <v>0.625</v>
      </c>
      <c r="I173" s="4" t="str">
        <f t="shared" si="37"/>
        <v>12:00 - 15:00</v>
      </c>
      <c r="J173" s="4" t="str">
        <f>J94</f>
        <v>Αμφιθέατρα</v>
      </c>
      <c r="K173" s="25" t="str">
        <f ca="1">IFERROR(__xludf.DUMMYFUNCTION("IF($E173="""", """", IF(OR(IFERROR(REGEXMATCH(TEXT($F173, ""dd/mm/yyyy""), SUBSTITUTE($G$2, "", "", ""|"")), FALSE), $F173=$G$4, $F173=$H$4), ""Εξέταση σε σ/κ ή αργία"", """"))"),"")</f>
        <v/>
      </c>
      <c r="L173" s="25" t="str">
        <f ca="1">IFERROR(__xludf.DUMMYFUNCTION("IFERROR(IF(ISNUMBER(SEARCH(TEXTJOIN("", "", TRUE, FILTER($E$8:$E$204, $F$8:$F$204 = F173, $J$8:$J$204 = J173, $G$8:$G$204 &lt; H173, $H$8:$H$204 &gt; G173, ROW($E$8:$E$204) &lt;&gt; ROW(E173))), #REF!)), """", TEXTJOIN("", "", TRUE, FILTER($E$8:$E$204, $F$8:$F$204 = "&amp;"F173, $J$8:$J$204 = J173, $G$8:$G$204 &lt; H173, $H$8:$H$204 &gt; G173, ROW($E$8:$E$204) &lt;&gt; ROW(E173)))), """")"),"Χειρουργική Μαλακών Ιστών")</f>
        <v>Χειρουργική Μαλακών Ιστών</v>
      </c>
      <c r="M173" s="23" t="s">
        <v>163</v>
      </c>
      <c r="N173" s="13"/>
    </row>
    <row r="174" spans="1:14" ht="30" x14ac:dyDescent="0.25">
      <c r="A174" s="21" t="s">
        <v>232</v>
      </c>
      <c r="B174" s="21" t="s">
        <v>232</v>
      </c>
      <c r="C174" s="4" t="str">
        <f t="shared" si="0"/>
        <v>Επί Πτυχίω</v>
      </c>
      <c r="D174" s="22" t="s">
        <v>115</v>
      </c>
      <c r="E174" s="23" t="s">
        <v>123</v>
      </c>
      <c r="F174" s="14">
        <f t="shared" ref="F174:H174" si="46">F65</f>
        <v>46280</v>
      </c>
      <c r="G174" s="24">
        <f t="shared" si="46"/>
        <v>0.375</v>
      </c>
      <c r="H174" s="24">
        <f t="shared" si="46"/>
        <v>0.5</v>
      </c>
      <c r="I174" s="4" t="str">
        <f t="shared" si="37"/>
        <v>09:00 - 12:00</v>
      </c>
      <c r="J174" s="4" t="str">
        <f>J65</f>
        <v>Αμφιθέατρα</v>
      </c>
      <c r="K174" s="25" t="str">
        <f ca="1">IFERROR(__xludf.DUMMYFUNCTION("IF($E174="""", """", IF(OR(IFERROR(REGEXMATCH(TEXT($F174, ""dd/mm/yyyy""), SUBSTITUTE($G$2, "", "", ""|"")), FALSE), $F174=$G$4, $F174=$H$4), ""Εξέταση σε σ/κ ή αργία"", """"))"),"")</f>
        <v/>
      </c>
      <c r="L174" s="25" t="str">
        <f ca="1">IFERROR(__xludf.DUMMYFUNCTION("IFERROR(IF(ISNUMBER(SEARCH(TEXTJOIN("", "", TRUE, FILTER($E$8:$E$204, $F$8:$F$204 = F174, $J$8:$J$204 = J174, $G$8:$G$204 &lt; H174, $H$8:$H$204 &gt; G174, ROW($E$8:$E$204) &lt;&gt; ROW(E174))), #REF!)), """", TEXTJOIN("", "", TRUE, FILTER($E$8:$E$204, $F$8:$F$204 = "&amp;"F174, $J$8:$J$204 = J174, $G$8:$G$204 &lt; H174, $H$8:$H$204 &gt; G174, ROW($E$8:$E$204) &lt;&gt; ROW(E174)))), """")"),"Γενική Χειρουργική &amp; Οφθαλμολογία")</f>
        <v>Γενική Χειρουργική &amp; Οφθαλμολογία</v>
      </c>
      <c r="M174" s="23" t="s">
        <v>122</v>
      </c>
      <c r="N174" s="13"/>
    </row>
    <row r="175" spans="1:14" ht="180" x14ac:dyDescent="0.25">
      <c r="A175" s="21" t="s">
        <v>232</v>
      </c>
      <c r="B175" s="21" t="s">
        <v>232</v>
      </c>
      <c r="C175" s="4" t="str">
        <f t="shared" si="0"/>
        <v>Επί Πτυχίω</v>
      </c>
      <c r="D175" s="22" t="s">
        <v>115</v>
      </c>
      <c r="E175" s="23" t="s">
        <v>255</v>
      </c>
      <c r="F175" s="14">
        <f t="shared" ref="F175:H175" si="47">F96</f>
        <v>46273</v>
      </c>
      <c r="G175" s="24">
        <f t="shared" si="47"/>
        <v>0.375</v>
      </c>
      <c r="H175" s="24">
        <f t="shared" si="47"/>
        <v>0.70833333333333337</v>
      </c>
      <c r="I175" s="4" t="str">
        <f t="shared" si="37"/>
        <v>09:00 - 17:00</v>
      </c>
      <c r="J175" s="4" t="str">
        <f t="shared" ref="J175:J177" si="48">J96</f>
        <v>Χειρουργική Κλινική</v>
      </c>
      <c r="K175" s="25" t="str">
        <f ca="1">IFERROR(__xludf.DUMMYFUNCTION("IF($E175="""", """", IF(OR(IFERROR(REGEXMATCH(TEXT($F175, ""dd/mm/yyyy""), SUBSTITUTE($G$2, "", "", ""|"")), FALSE), $F175=$G$4, $F175=$H$4), ""Εξέταση σε σ/κ ή αργία"", """"))"),"")</f>
        <v/>
      </c>
      <c r="L175" s="25" t="str">
        <f ca="1">IFERROR(__xludf.DUMMYFUNCTION("IFERROR(IF(ISNUMBER(SEARCH(TEXTJOIN("", "", TRUE, FILTER($E$8:$E$204, $F$8:$F$204 = F175, $J$8:$J$204 = J175, $G$8:$G$204 &lt; H175, $H$8:$H$204 &gt; G175, ROW($E$8:$E$204) &lt;&gt; ROW(E175))), #REF!)), """", TEXTJOIN("", "", TRUE, FILTER($E$8:$E$204, $F$8:$F$204 = "&amp;"F175, $J$8:$J$204 = J175, $G$8:$G$204 &lt; H175, $H$8:$H$204 &gt; G175, ROW($E$8:$E$204) &lt;&gt; ROW(E175)))), """")"),"Πρακτική Άσκηση στην Αναισθησιολογία, τη Χειρουργική &amp; την Απεικονιστική Διαγνωστική Ι (Πρακτικά) (1η ημέρα), Πρακτική Άσκηση στην Αναισθησιολογία, τη Χειρουργική &amp; την Απεικονιστική Διαγνωστική ΙΙ (Πρακτικά) (1η ημέρα)")</f>
        <v>Πρακτική Άσκηση στην Αναισθησιολογία, τη Χειρουργική &amp; την Απεικονιστική Διαγνωστική Ι (Πρακτικά) (1η ημέρα), Πρακτική Άσκηση στην Αναισθησιολογία, τη Χειρουργική &amp; την Απεικονιστική Διαγνωστική ΙΙ (Πρακτικά) (1η ημέρα)</v>
      </c>
      <c r="M175" s="23" t="s">
        <v>256</v>
      </c>
      <c r="N175" s="13"/>
    </row>
    <row r="176" spans="1:14" ht="180" x14ac:dyDescent="0.25">
      <c r="A176" s="21" t="s">
        <v>232</v>
      </c>
      <c r="B176" s="21" t="s">
        <v>232</v>
      </c>
      <c r="C176" s="4" t="str">
        <f t="shared" si="0"/>
        <v>Επί Πτυχίω</v>
      </c>
      <c r="D176" s="22" t="s">
        <v>115</v>
      </c>
      <c r="E176" s="23" t="s">
        <v>257</v>
      </c>
      <c r="F176" s="14">
        <f t="shared" ref="F176:H176" si="49">F97</f>
        <v>46274</v>
      </c>
      <c r="G176" s="24">
        <f t="shared" si="49"/>
        <v>0.375</v>
      </c>
      <c r="H176" s="24">
        <f t="shared" si="49"/>
        <v>0.70833333333333337</v>
      </c>
      <c r="I176" s="4" t="str">
        <f t="shared" si="37"/>
        <v>09:00 - 17:00</v>
      </c>
      <c r="J176" s="4" t="str">
        <f t="shared" si="48"/>
        <v>Χειρουργική Κλινική</v>
      </c>
      <c r="K176" s="25" t="str">
        <f ca="1">IFERROR(__xludf.DUMMYFUNCTION("IF($E176="""", """", IF(OR(IFERROR(REGEXMATCH(TEXT($F176, ""dd/mm/yyyy""), SUBSTITUTE($G$2, "", "", ""|"")), FALSE), $F176=$G$4, $F176=$H$4), ""Εξέταση σε σ/κ ή αργία"", """"))"),"")</f>
        <v/>
      </c>
      <c r="L176" s="25" t="str">
        <f ca="1">IFERROR(__xludf.DUMMYFUNCTION("IFERROR(IF(ISNUMBER(SEARCH(TEXTJOIN("", "", TRUE, FILTER($E$8:$E$204, $F$8:$F$204 = F176, $J$8:$J$204 = J176, $G$8:$G$204 &lt; H176, $H$8:$H$204 &gt; G176, ROW($E$8:$E$204) &lt;&gt; ROW(E176))), #REF!)), """", TEXTJOIN("", "", TRUE, FILTER($E$8:$E$204, $F$8:$F$204 = "&amp;"F176, $J$8:$J$204 = J176, $G$8:$G$204 &lt; H176, $H$8:$H$204 &gt; G176, ROW($E$8:$E$204) &lt;&gt; ROW(E176)))), """")"),"Πρακτική Άσκηση στην Αναισθησιολογία, τη Χειρουργική &amp; την Απεικονιστική Διαγνωστική Ι (Πρακτικά) (2η ημέρα), Πρακτική Άσκηση στην Αναισθησιολογία, τη Χειρουργική &amp; την Απεικονιστική Διαγνωστική ΙΙ (Πρακτικά) (2η ημέρα)")</f>
        <v>Πρακτική Άσκηση στην Αναισθησιολογία, τη Χειρουργική &amp; την Απεικονιστική Διαγνωστική Ι (Πρακτικά) (2η ημέρα), Πρακτική Άσκηση στην Αναισθησιολογία, τη Χειρουργική &amp; την Απεικονιστική Διαγνωστική ΙΙ (Πρακτικά) (2η ημέρα)</v>
      </c>
      <c r="M176" s="23" t="s">
        <v>256</v>
      </c>
      <c r="N176" s="13"/>
    </row>
    <row r="177" spans="1:14" ht="180" x14ac:dyDescent="0.25">
      <c r="A177" s="21" t="s">
        <v>232</v>
      </c>
      <c r="B177" s="21" t="s">
        <v>232</v>
      </c>
      <c r="C177" s="4" t="str">
        <f t="shared" si="0"/>
        <v>Επί Πτυχίω</v>
      </c>
      <c r="D177" s="22" t="s">
        <v>115</v>
      </c>
      <c r="E177" s="23" t="s">
        <v>258</v>
      </c>
      <c r="F177" s="14">
        <f t="shared" ref="F177:H177" si="50">F98</f>
        <v>46275</v>
      </c>
      <c r="G177" s="24">
        <f t="shared" si="50"/>
        <v>0.45833333333333331</v>
      </c>
      <c r="H177" s="24">
        <f t="shared" si="50"/>
        <v>0.70833333333333337</v>
      </c>
      <c r="I177" s="4" t="str">
        <f t="shared" si="37"/>
        <v>11:00 - 17:00</v>
      </c>
      <c r="J177" s="4" t="str">
        <f t="shared" si="48"/>
        <v>Χειρουργική Κλινική</v>
      </c>
      <c r="K177" s="25" t="str">
        <f ca="1">IFERROR(__xludf.DUMMYFUNCTION("IF($E177="""", """", IF(OR(IFERROR(REGEXMATCH(TEXT($F177, ""dd/mm/yyyy""), SUBSTITUTE($G$2, "", "", ""|"")), FALSE), $F177=$G$4, $F177=$H$4), ""Εξέταση σε σ/κ ή αργία"", """"))"),"")</f>
        <v/>
      </c>
      <c r="L177" s="25" t="str">
        <f ca="1">IFERROR(__xludf.DUMMYFUNCTION("IFERROR(IF(ISNUMBER(SEARCH(TEXTJOIN("", "", TRUE, FILTER($E$8:$E$204, $F$8:$F$204 = F177, $J$8:$J$204 = J177, $G$8:$G$204 &lt; H177, $H$8:$H$204 &gt; G177, ROW($E$8:$E$204) &lt;&gt; ROW(E177))), #REF!)), """", TEXTJOIN("", "", TRUE, FILTER($E$8:$E$204, $F$8:$F$204 = "&amp;"F177, $J$8:$J$204 = J177, $G$8:$G$204 &lt; H177, $H$8:$H$204 &gt; G177, ROW($E$8:$E$204) &lt;&gt; ROW(E177)))), """")"),"Πρακτική Άσκηση στην Αναισθησιολογία, τη Χειρουργική &amp; την Απεικονιστική Διαγνωστική Ι (Πρακτικά) (3η ημέρα), Πρακτική Άσκηση στην Αναισθησιολογία, τη Χειρουργική &amp; την Απεικονιστική Διαγνωστική ΙΙ (Πρακτικά) (3η ημέρα)")</f>
        <v>Πρακτική Άσκηση στην Αναισθησιολογία, τη Χειρουργική &amp; την Απεικονιστική Διαγνωστική Ι (Πρακτικά) (3η ημέρα), Πρακτική Άσκηση στην Αναισθησιολογία, τη Χειρουργική &amp; την Απεικονιστική Διαγνωστική ΙΙ (Πρακτικά) (3η ημέρα)</v>
      </c>
      <c r="M177" s="23" t="s">
        <v>256</v>
      </c>
      <c r="N177" s="13"/>
    </row>
    <row r="178" spans="1:14" ht="30" x14ac:dyDescent="0.25">
      <c r="A178" s="21" t="s">
        <v>232</v>
      </c>
      <c r="B178" s="21" t="s">
        <v>232</v>
      </c>
      <c r="C178" s="4" t="str">
        <f t="shared" si="0"/>
        <v>Επί Πτυχίω</v>
      </c>
      <c r="D178" s="22" t="s">
        <v>115</v>
      </c>
      <c r="E178" s="23" t="s">
        <v>154</v>
      </c>
      <c r="F178" s="14">
        <f t="shared" ref="F178:H178" si="51">F86</f>
        <v>46282</v>
      </c>
      <c r="G178" s="24">
        <f t="shared" si="51"/>
        <v>0.58333333333333337</v>
      </c>
      <c r="H178" s="24">
        <f t="shared" si="51"/>
        <v>0.70833333333333337</v>
      </c>
      <c r="I178" s="4" t="str">
        <f t="shared" si="37"/>
        <v>14:00 - 17:00</v>
      </c>
      <c r="J178" s="4" t="str">
        <f>J86</f>
        <v>Νέες Αίθουσες</v>
      </c>
      <c r="K178" s="25" t="str">
        <f ca="1">IFERROR(__xludf.DUMMYFUNCTION("IF($E178="""", """", IF(OR(IFERROR(REGEXMATCH(TEXT($F178, ""dd/mm/yyyy""), SUBSTITUTE($G$2, "", "", ""|"")), FALSE), $F178=$G$4, $F178=$H$4), ""Εξέταση σε σ/κ ή αργία"", """"))"),"")</f>
        <v/>
      </c>
      <c r="L178" s="25" t="str">
        <f ca="1">IFERROR(__xludf.DUMMYFUNCTION("IFERROR(IF(ISNUMBER(SEARCH(TEXTJOIN("", "", TRUE, FILTER($E$8:$E$204, $F$8:$F$204 = F178, $J$8:$J$204 = J178, $G$8:$G$204 &lt; H178, $H$8:$H$204 &gt; G178, ROW($E$8:$E$204) &lt;&gt; ROW(E178))), #REF!)), """", TEXTJOIN("", "", TRUE, FILTER($E$8:$E$204, $F$8:$F$204 = "&amp;"F178, $J$8:$J$204 = J178, $G$8:$G$204 &lt; H178, $H$8:$H$204 &gt; G178, ROW($E$8:$E$204) &lt;&gt; ROW(E178)))), """")"),"Απεικονιστική Διαγνωστική")</f>
        <v>Απεικονιστική Διαγνωστική</v>
      </c>
      <c r="M178" s="23" t="s">
        <v>153</v>
      </c>
      <c r="N178" s="13"/>
    </row>
    <row r="179" spans="1:14" x14ac:dyDescent="0.25">
      <c r="A179" s="21"/>
      <c r="B179" s="21"/>
      <c r="C179" s="4" t="str">
        <f t="shared" si="0"/>
        <v/>
      </c>
      <c r="D179" s="22"/>
      <c r="E179" s="23"/>
      <c r="F179" s="14"/>
      <c r="G179" s="24"/>
      <c r="H179" s="24"/>
      <c r="I179" s="4" t="str">
        <f t="shared" si="37"/>
        <v/>
      </c>
      <c r="J179" s="4"/>
      <c r="K179" s="25" t="str">
        <f ca="1">IFERROR(__xludf.DUMMYFUNCTION("IF($E179="""", """", IF(OR(IFERROR(REGEXMATCH(TEXT($F179, ""dd/mm/yyyy""), SUBSTITUTE($G$2, "", "", ""|"")), FALSE), $F179=$G$4, $F179=$H$4), ""Εξέταση σε σ/κ ή αργία"", """"))"),"")</f>
        <v/>
      </c>
      <c r="L179" s="25" t="str">
        <f ca="1">IFERROR(__xludf.DUMMYFUNCTION("IFERROR(IF(ISNUMBER(SEARCH(TEXTJOIN("", "", TRUE, FILTER($E$8:$E$204, $F$8:$F$204 = F179, $J$8:$J$204 = J179, $G$8:$G$204 &lt; H179, $H$8:$H$204 &gt; G179, ROW($E$8:$E$204) &lt;&gt; ROW(E179))), #REF!)), """", TEXTJOIN("", "", TRUE, FILTER($E$8:$E$204, $F$8:$F$204 = "&amp;"F179, $J$8:$J$204 = J179, $G$8:$G$204 &lt; H179, $H$8:$H$204 &gt; G179, ROW($E$8:$E$204) &lt;&gt; ROW(E179)))), """")"),"")</f>
        <v/>
      </c>
      <c r="M179" s="23"/>
      <c r="N179" s="13"/>
    </row>
    <row r="180" spans="1:14" x14ac:dyDescent="0.25">
      <c r="A180" s="21"/>
      <c r="B180" s="21"/>
      <c r="C180" s="4" t="str">
        <f t="shared" si="0"/>
        <v/>
      </c>
      <c r="D180" s="22"/>
      <c r="E180" s="23"/>
      <c r="F180" s="14"/>
      <c r="G180" s="24"/>
      <c r="H180" s="24"/>
      <c r="I180" s="4" t="str">
        <f t="shared" si="37"/>
        <v/>
      </c>
      <c r="J180" s="4"/>
      <c r="K180" s="25" t="str">
        <f ca="1">IFERROR(__xludf.DUMMYFUNCTION("IF($E180="""", """", IF(OR(IFERROR(REGEXMATCH(TEXT($F180, ""dd/mm/yyyy""), SUBSTITUTE($G$2, "", "", ""|"")), FALSE), $F180=$G$4, $F180=$H$4), ""Εξέταση σε σ/κ ή αργία"", """"))"),"")</f>
        <v/>
      </c>
      <c r="L180" s="25" t="str">
        <f ca="1">IFERROR(__xludf.DUMMYFUNCTION("IFERROR(IF(ISNUMBER(SEARCH(TEXTJOIN("", "", TRUE, FILTER($E$8:$E$204, $F$8:$F$204 = F180, $J$8:$J$204 = J180, $G$8:$G$204 &lt; H180, $H$8:$H$204 &gt; G180, ROW($E$8:$E$204) &lt;&gt; ROW(E180))), #REF!)), """", TEXTJOIN("", "", TRUE, FILTER($E$8:$E$204, $F$8:$F$204 = "&amp;"F180, $J$8:$J$204 = J180, $G$8:$G$204 &lt; H180, $H$8:$H$204 &gt; G180, ROW($E$8:$E$204) &lt;&gt; ROW(E180)))), """")"),"")</f>
        <v/>
      </c>
      <c r="M180" s="23"/>
      <c r="N180" s="13"/>
    </row>
    <row r="181" spans="1:14" x14ac:dyDescent="0.25">
      <c r="A181" s="21"/>
      <c r="B181" s="21"/>
      <c r="C181" s="4" t="str">
        <f t="shared" si="0"/>
        <v/>
      </c>
      <c r="D181" s="22"/>
      <c r="E181" s="23"/>
      <c r="F181" s="14"/>
      <c r="G181" s="24"/>
      <c r="H181" s="24"/>
      <c r="I181" s="4" t="str">
        <f t="shared" si="37"/>
        <v/>
      </c>
      <c r="J181" s="4"/>
      <c r="K181" s="25" t="str">
        <f ca="1">IFERROR(__xludf.DUMMYFUNCTION("IF($E181="""", """", IF(OR(IFERROR(REGEXMATCH(TEXT($F181, ""dd/mm/yyyy""), SUBSTITUTE($G$2, "", "", ""|"")), FALSE), $F181=$G$4, $F181=$H$4), ""Εξέταση σε σ/κ ή αργία"", """"))"),"")</f>
        <v/>
      </c>
      <c r="L181" s="25" t="str">
        <f ca="1">IFERROR(__xludf.DUMMYFUNCTION("IFERROR(IF(ISNUMBER(SEARCH(TEXTJOIN("", "", TRUE, FILTER($E$8:$E$204, $F$8:$F$204 = F181, $J$8:$J$204 = J181, $G$8:$G$204 &lt; H181, $H$8:$H$204 &gt; G181, ROW($E$8:$E$204) &lt;&gt; ROW(E181))), #REF!)), """", TEXTJOIN("", "", TRUE, FILTER($E$8:$E$204, $F$8:$F$204 = "&amp;"F181, $J$8:$J$204 = J181, $G$8:$G$204 &lt; H181, $H$8:$H$204 &gt; G181, ROW($E$8:$E$204) &lt;&gt; ROW(E181)))), """")"),"")</f>
        <v/>
      </c>
      <c r="M181" s="23"/>
      <c r="N181" s="13"/>
    </row>
    <row r="182" spans="1:14" x14ac:dyDescent="0.25">
      <c r="A182" s="21"/>
      <c r="B182" s="21"/>
      <c r="C182" s="4" t="str">
        <f t="shared" si="0"/>
        <v/>
      </c>
      <c r="D182" s="22"/>
      <c r="E182" s="23"/>
      <c r="F182" s="14"/>
      <c r="G182" s="24"/>
      <c r="H182" s="24"/>
      <c r="I182" s="4" t="str">
        <f t="shared" si="37"/>
        <v/>
      </c>
      <c r="J182" s="4"/>
      <c r="K182" s="25" t="str">
        <f ca="1">IFERROR(__xludf.DUMMYFUNCTION("IF($E182="""", """", IF(OR(IFERROR(REGEXMATCH(TEXT($F182, ""dd/mm/yyyy""), SUBSTITUTE($G$2, "", "", ""|"")), FALSE), $F182=$G$4, $F182=$H$4), ""Εξέταση σε σ/κ ή αργία"", """"))"),"")</f>
        <v/>
      </c>
      <c r="L182" s="25" t="str">
        <f ca="1">IFERROR(__xludf.DUMMYFUNCTION("IFERROR(IF(ISNUMBER(SEARCH(TEXTJOIN("", "", TRUE, FILTER($E$8:$E$204, $F$8:$F$204 = F182, $J$8:$J$204 = J182, $G$8:$G$204 &lt; H182, $H$8:$H$204 &gt; G182, ROW($E$8:$E$204) &lt;&gt; ROW(E182))), #REF!)), """", TEXTJOIN("", "", TRUE, FILTER($E$8:$E$204, $F$8:$F$204 = "&amp;"F182, $J$8:$J$204 = J182, $G$8:$G$204 &lt; H182, $H$8:$H$204 &gt; G182, ROW($E$8:$E$204) &lt;&gt; ROW(E182)))), """")"),"")</f>
        <v/>
      </c>
      <c r="M182" s="23"/>
      <c r="N182" s="13"/>
    </row>
    <row r="183" spans="1:14" x14ac:dyDescent="0.25">
      <c r="A183" s="21"/>
      <c r="B183" s="21"/>
      <c r="C183" s="4" t="str">
        <f t="shared" si="0"/>
        <v/>
      </c>
      <c r="D183" s="22"/>
      <c r="E183" s="23"/>
      <c r="F183" s="14"/>
      <c r="G183" s="24"/>
      <c r="H183" s="24"/>
      <c r="I183" s="4" t="str">
        <f t="shared" si="37"/>
        <v/>
      </c>
      <c r="J183" s="4"/>
      <c r="K183" s="25" t="str">
        <f ca="1">IFERROR(__xludf.DUMMYFUNCTION("IF($E183="""", """", IF(OR(IFERROR(REGEXMATCH(TEXT($F183, ""dd/mm/yyyy""), SUBSTITUTE($G$2, "", "", ""|"")), FALSE), $F183=$G$4, $F183=$H$4), ""Εξέταση σε σ/κ ή αργία"", """"))"),"")</f>
        <v/>
      </c>
      <c r="L183" s="25" t="str">
        <f ca="1">IFERROR(__xludf.DUMMYFUNCTION("IFERROR(IF(ISNUMBER(SEARCH(TEXTJOIN("", "", TRUE, FILTER($E$8:$E$204, $F$8:$F$204 = F183, $J$8:$J$204 = J183, $G$8:$G$204 &lt; H183, $H$8:$H$204 &gt; G183, ROW($E$8:$E$204) &lt;&gt; ROW(E183))), #REF!)), """", TEXTJOIN("", "", TRUE, FILTER($E$8:$E$204, $F$8:$F$204 = "&amp;"F183, $J$8:$J$204 = J183, $G$8:$G$204 &lt; H183, $H$8:$H$204 &gt; G183, ROW($E$8:$E$204) &lt;&gt; ROW(E183)))), """")"),"")</f>
        <v/>
      </c>
      <c r="M183" s="23"/>
      <c r="N183" s="13"/>
    </row>
    <row r="184" spans="1:14" x14ac:dyDescent="0.25">
      <c r="A184" s="21"/>
      <c r="B184" s="21"/>
      <c r="C184" s="4" t="str">
        <f t="shared" si="0"/>
        <v/>
      </c>
      <c r="D184" s="22"/>
      <c r="E184" s="23"/>
      <c r="F184" s="14"/>
      <c r="G184" s="24"/>
      <c r="H184" s="24"/>
      <c r="I184" s="4" t="str">
        <f t="shared" si="37"/>
        <v/>
      </c>
      <c r="J184" s="4"/>
      <c r="K184" s="25" t="str">
        <f ca="1">IFERROR(__xludf.DUMMYFUNCTION("IF($E184="""", """", IF(OR(IFERROR(REGEXMATCH(TEXT($F184, ""dd/mm/yyyy""), SUBSTITUTE($G$2, "", "", ""|"")), FALSE), $F184=$G$4, $F184=$H$4), ""Εξέταση σε σ/κ ή αργία"", """"))"),"")</f>
        <v/>
      </c>
      <c r="L184" s="25" t="str">
        <f ca="1">IFERROR(__xludf.DUMMYFUNCTION("IFERROR(IF(ISNUMBER(SEARCH(TEXTJOIN("", "", TRUE, FILTER($E$8:$E$204, $F$8:$F$204 = F184, $J$8:$J$204 = J184, $G$8:$G$204 &lt; H184, $H$8:$H$204 &gt; G184, ROW($E$8:$E$204) &lt;&gt; ROW(E184))), #REF!)), """", TEXTJOIN("", "", TRUE, FILTER($E$8:$E$204, $F$8:$F$204 = "&amp;"F184, $J$8:$J$204 = J184, $G$8:$G$204 &lt; H184, $H$8:$H$204 &gt; G184, ROW($E$8:$E$204) &lt;&gt; ROW(E184)))), """")"),"")</f>
        <v/>
      </c>
      <c r="M184" s="23"/>
      <c r="N184" s="13"/>
    </row>
    <row r="185" spans="1:14" x14ac:dyDescent="0.25">
      <c r="A185" s="21"/>
      <c r="B185" s="21"/>
      <c r="C185" s="4" t="str">
        <f t="shared" si="0"/>
        <v/>
      </c>
      <c r="D185" s="22"/>
      <c r="E185" s="23"/>
      <c r="F185" s="14"/>
      <c r="G185" s="24"/>
      <c r="H185" s="24"/>
      <c r="I185" s="4" t="str">
        <f t="shared" si="37"/>
        <v/>
      </c>
      <c r="J185" s="4"/>
      <c r="K185" s="25" t="str">
        <f ca="1">IFERROR(__xludf.DUMMYFUNCTION("IF($E185="""", """", IF(OR(IFERROR(REGEXMATCH(TEXT($F185, ""dd/mm/yyyy""), SUBSTITUTE($G$2, "", "", ""|"")), FALSE), $F185=$G$4, $F185=$H$4), ""Εξέταση σε σ/κ ή αργία"", """"))"),"")</f>
        <v/>
      </c>
      <c r="L185" s="25" t="str">
        <f ca="1">IFERROR(__xludf.DUMMYFUNCTION("IFERROR(IF(ISNUMBER(SEARCH(TEXTJOIN("", "", TRUE, FILTER($E$8:$E$204, $F$8:$F$204 = F185, $J$8:$J$204 = J185, $G$8:$G$204 &lt; H185, $H$8:$H$204 &gt; G185, ROW($E$8:$E$204) &lt;&gt; ROW(E185))), #REF!)), """", TEXTJOIN("", "", TRUE, FILTER($E$8:$E$204, $F$8:$F$204 = "&amp;"F185, $J$8:$J$204 = J185, $G$8:$G$204 &lt; H185, $H$8:$H$204 &gt; G185, ROW($E$8:$E$204) &lt;&gt; ROW(E185)))), """")"),"")</f>
        <v/>
      </c>
      <c r="M185" s="23"/>
      <c r="N185" s="13"/>
    </row>
    <row r="186" spans="1:14" x14ac:dyDescent="0.25">
      <c r="A186" s="21"/>
      <c r="B186" s="21"/>
      <c r="C186" s="4" t="str">
        <f t="shared" si="0"/>
        <v/>
      </c>
      <c r="D186" s="22"/>
      <c r="E186" s="23"/>
      <c r="F186" s="14"/>
      <c r="G186" s="24"/>
      <c r="H186" s="24"/>
      <c r="I186" s="4" t="str">
        <f t="shared" si="37"/>
        <v/>
      </c>
      <c r="J186" s="4"/>
      <c r="K186" s="25" t="str">
        <f ca="1">IFERROR(__xludf.DUMMYFUNCTION("IF($E186="""", """", IF(OR(IFERROR(REGEXMATCH(TEXT($F186, ""dd/mm/yyyy""), SUBSTITUTE($G$2, "", "", ""|"")), FALSE), $F186=$G$4, $F186=$H$4), ""Εξέταση σε σ/κ ή αργία"", """"))"),"")</f>
        <v/>
      </c>
      <c r="L186" s="25" t="str">
        <f ca="1">IFERROR(__xludf.DUMMYFUNCTION("IFERROR(IF(ISNUMBER(SEARCH(TEXTJOIN("", "", TRUE, FILTER($E$8:$E$204, $F$8:$F$204 = F186, $J$8:$J$204 = J186, $G$8:$G$204 &lt; H186, $H$8:$H$204 &gt; G186, ROW($E$8:$E$204) &lt;&gt; ROW(E186))), #REF!)), """", TEXTJOIN("", "", TRUE, FILTER($E$8:$E$204, $F$8:$F$204 = "&amp;"F186, $J$8:$J$204 = J186, $G$8:$G$204 &lt; H186, $H$8:$H$204 &gt; G186, ROW($E$8:$E$204) &lt;&gt; ROW(E186)))), """")"),"")</f>
        <v/>
      </c>
      <c r="M186" s="23"/>
      <c r="N186" s="13"/>
    </row>
    <row r="187" spans="1:14" x14ac:dyDescent="0.25">
      <c r="A187" s="21"/>
      <c r="B187" s="21"/>
      <c r="C187" s="4" t="str">
        <f t="shared" si="0"/>
        <v/>
      </c>
      <c r="D187" s="22"/>
      <c r="E187" s="23"/>
      <c r="F187" s="14"/>
      <c r="G187" s="24"/>
      <c r="H187" s="24"/>
      <c r="I187" s="4" t="str">
        <f t="shared" si="37"/>
        <v/>
      </c>
      <c r="J187" s="4"/>
      <c r="K187" s="25" t="str">
        <f ca="1">IFERROR(__xludf.DUMMYFUNCTION("IF($E187="""", """", IF(OR(IFERROR(REGEXMATCH(TEXT($F187, ""dd/mm/yyyy""), SUBSTITUTE($G$2, "", "", ""|"")), FALSE), $F187=$G$4, $F187=$H$4), ""Εξέταση σε σ/κ ή αργία"", """"))"),"")</f>
        <v/>
      </c>
      <c r="L187" s="25" t="str">
        <f ca="1">IFERROR(__xludf.DUMMYFUNCTION("IFERROR(IF(ISNUMBER(SEARCH(TEXTJOIN("", "", TRUE, FILTER($E$8:$E$204, $F$8:$F$204 = F187, $J$8:$J$204 = J187, $G$8:$G$204 &lt; H187, $H$8:$H$204 &gt; G187, ROW($E$8:$E$204) &lt;&gt; ROW(E187))), #REF!)), """", TEXTJOIN("", "", TRUE, FILTER($E$8:$E$204, $F$8:$F$204 = "&amp;"F187, $J$8:$J$204 = J187, $G$8:$G$204 &lt; H187, $H$8:$H$204 &gt; G187, ROW($E$8:$E$204) &lt;&gt; ROW(E187)))), """")"),"")</f>
        <v/>
      </c>
      <c r="M187" s="23"/>
      <c r="N187" s="13"/>
    </row>
    <row r="188" spans="1:14" x14ac:dyDescent="0.25">
      <c r="A188" s="21"/>
      <c r="B188" s="21"/>
      <c r="C188" s="4" t="str">
        <f t="shared" si="0"/>
        <v/>
      </c>
      <c r="D188" s="22"/>
      <c r="E188" s="23"/>
      <c r="F188" s="14"/>
      <c r="G188" s="24"/>
      <c r="H188" s="24"/>
      <c r="I188" s="4" t="str">
        <f t="shared" si="37"/>
        <v/>
      </c>
      <c r="J188" s="4"/>
      <c r="K188" s="25" t="str">
        <f ca="1">IFERROR(__xludf.DUMMYFUNCTION("IF($E188="""", """", IF(OR(IFERROR(REGEXMATCH(TEXT($F188, ""dd/mm/yyyy""), SUBSTITUTE($G$2, "", "", ""|"")), FALSE), $F188=$G$4, $F188=$H$4), ""Εξέταση σε σ/κ ή αργία"", """"))"),"")</f>
        <v/>
      </c>
      <c r="L188" s="25" t="str">
        <f ca="1">IFERROR(__xludf.DUMMYFUNCTION("IFERROR(IF(ISNUMBER(SEARCH(TEXTJOIN("", "", TRUE, FILTER($E$8:$E$204, $F$8:$F$204 = F188, $J$8:$J$204 = J188, $G$8:$G$204 &lt; H188, $H$8:$H$204 &gt; G188, ROW($E$8:$E$204) &lt;&gt; ROW(E188))), #REF!)), """", TEXTJOIN("", "", TRUE, FILTER($E$8:$E$204, $F$8:$F$204 = "&amp;"F188, $J$8:$J$204 = J188, $G$8:$G$204 &lt; H188, $H$8:$H$204 &gt; G188, ROW($E$8:$E$204) &lt;&gt; ROW(E188)))), """")"),"")</f>
        <v/>
      </c>
      <c r="M188" s="23"/>
      <c r="N188" s="13"/>
    </row>
    <row r="189" spans="1:14" x14ac:dyDescent="0.25">
      <c r="A189" s="21"/>
      <c r="B189" s="21"/>
      <c r="C189" s="4" t="str">
        <f t="shared" si="0"/>
        <v/>
      </c>
      <c r="D189" s="22"/>
      <c r="E189" s="23"/>
      <c r="F189" s="14"/>
      <c r="G189" s="24"/>
      <c r="H189" s="24"/>
      <c r="I189" s="4" t="str">
        <f t="shared" si="37"/>
        <v/>
      </c>
      <c r="J189" s="4"/>
      <c r="K189" s="25" t="str">
        <f ca="1">IFERROR(__xludf.DUMMYFUNCTION("IF($E189="""", """", IF(OR(IFERROR(REGEXMATCH(TEXT($F189, ""dd/mm/yyyy""), SUBSTITUTE($G$2, "", "", ""|"")), FALSE), $F189=$G$4, $F189=$H$4), ""Εξέταση σε σ/κ ή αργία"", """"))"),"")</f>
        <v/>
      </c>
      <c r="L189" s="25" t="str">
        <f ca="1">IFERROR(__xludf.DUMMYFUNCTION("IFERROR(IF(ISNUMBER(SEARCH(TEXTJOIN("", "", TRUE, FILTER($E$8:$E$204, $F$8:$F$204 = F189, $J$8:$J$204 = J189, $G$8:$G$204 &lt; H189, $H$8:$H$204 &gt; G189, ROW($E$8:$E$204) &lt;&gt; ROW(E189))), #REF!)), """", TEXTJOIN("", "", TRUE, FILTER($E$8:$E$204, $F$8:$F$204 = "&amp;"F189, $J$8:$J$204 = J189, $G$8:$G$204 &lt; H189, $H$8:$H$204 &gt; G189, ROW($E$8:$E$204) &lt;&gt; ROW(E189)))), """")"),"")</f>
        <v/>
      </c>
      <c r="M189" s="23"/>
      <c r="N189" s="13"/>
    </row>
    <row r="190" spans="1:14" x14ac:dyDescent="0.25">
      <c r="A190" s="21"/>
      <c r="B190" s="21"/>
      <c r="C190" s="4" t="str">
        <f t="shared" si="0"/>
        <v/>
      </c>
      <c r="D190" s="22"/>
      <c r="E190" s="23"/>
      <c r="F190" s="14"/>
      <c r="G190" s="24"/>
      <c r="H190" s="24"/>
      <c r="I190" s="4" t="str">
        <f t="shared" si="37"/>
        <v/>
      </c>
      <c r="J190" s="4"/>
      <c r="K190" s="25" t="str">
        <f ca="1">IFERROR(__xludf.DUMMYFUNCTION("IF($E190="""", """", IF(OR(IFERROR(REGEXMATCH(TEXT($F190, ""dd/mm/yyyy""), SUBSTITUTE($G$2, "", "", ""|"")), FALSE), $F190=$G$4, $F190=$H$4), ""Εξέταση σε σ/κ ή αργία"", """"))"),"")</f>
        <v/>
      </c>
      <c r="L190" s="25" t="str">
        <f ca="1">IFERROR(__xludf.DUMMYFUNCTION("IFERROR(IF(ISNUMBER(SEARCH(TEXTJOIN("", "", TRUE, FILTER($E$8:$E$204, $F$8:$F$204 = F190, $J$8:$J$204 = J190, $G$8:$G$204 &lt; H190, $H$8:$H$204 &gt; G190, ROW($E$8:$E$204) &lt;&gt; ROW(E190))), #REF!)), """", TEXTJOIN("", "", TRUE, FILTER($E$8:$E$204, $F$8:$F$204 = "&amp;"F190, $J$8:$J$204 = J190, $G$8:$G$204 &lt; H190, $H$8:$H$204 &gt; G190, ROW($E$8:$E$204) &lt;&gt; ROW(E190)))), """")"),"")</f>
        <v/>
      </c>
      <c r="M190" s="23"/>
      <c r="N190" s="13"/>
    </row>
    <row r="191" spans="1:14" x14ac:dyDescent="0.25">
      <c r="A191" s="21"/>
      <c r="B191" s="21"/>
      <c r="C191" s="4" t="str">
        <f t="shared" si="0"/>
        <v/>
      </c>
      <c r="D191" s="22"/>
      <c r="E191" s="23"/>
      <c r="F191" s="14"/>
      <c r="G191" s="24"/>
      <c r="H191" s="24"/>
      <c r="I191" s="4" t="str">
        <f t="shared" si="37"/>
        <v/>
      </c>
      <c r="J191" s="4"/>
      <c r="K191" s="25" t="str">
        <f ca="1">IFERROR(__xludf.DUMMYFUNCTION("IF($E191="""", """", IF(OR(IFERROR(REGEXMATCH(TEXT($F191, ""dd/mm/yyyy""), SUBSTITUTE($G$2, "", "", ""|"")), FALSE), $F191=$G$4, $F191=$H$4), ""Εξέταση σε σ/κ ή αργία"", """"))"),"")</f>
        <v/>
      </c>
      <c r="L191" s="25" t="str">
        <f ca="1">IFERROR(__xludf.DUMMYFUNCTION("IFERROR(IF(ISNUMBER(SEARCH(TEXTJOIN("", "", TRUE, FILTER($E$8:$E$204, $F$8:$F$204 = F191, $J$8:$J$204 = J191, $G$8:$G$204 &lt; H191, $H$8:$H$204 &gt; G191, ROW($E$8:$E$204) &lt;&gt; ROW(E191))), #REF!)), """", TEXTJOIN("", "", TRUE, FILTER($E$8:$E$204, $F$8:$F$204 = "&amp;"F191, $J$8:$J$204 = J191, $G$8:$G$204 &lt; H191, $H$8:$H$204 &gt; G191, ROW($E$8:$E$204) &lt;&gt; ROW(E191)))), """")"),"")</f>
        <v/>
      </c>
      <c r="M191" s="23"/>
      <c r="N191" s="13"/>
    </row>
    <row r="192" spans="1:14" x14ac:dyDescent="0.25">
      <c r="A192" s="21"/>
      <c r="B192" s="21"/>
      <c r="C192" s="4" t="str">
        <f t="shared" si="0"/>
        <v/>
      </c>
      <c r="D192" s="22"/>
      <c r="E192" s="23"/>
      <c r="F192" s="14"/>
      <c r="G192" s="24"/>
      <c r="H192" s="24"/>
      <c r="I192" s="4" t="str">
        <f t="shared" si="37"/>
        <v/>
      </c>
      <c r="J192" s="4"/>
      <c r="K192" s="25" t="str">
        <f ca="1">IFERROR(__xludf.DUMMYFUNCTION("IF($E192="""", """", IF(OR(IFERROR(REGEXMATCH(TEXT($F192, ""dd/mm/yyyy""), SUBSTITUTE($G$2, "", "", ""|"")), FALSE), $F192=$G$4, $F192=$H$4), ""Εξέταση σε σ/κ ή αργία"", """"))"),"")</f>
        <v/>
      </c>
      <c r="L192" s="25" t="str">
        <f ca="1">IFERROR(__xludf.DUMMYFUNCTION("IFERROR(IF(ISNUMBER(SEARCH(TEXTJOIN("", "", TRUE, FILTER($E$8:$E$204, $F$8:$F$204 = F192, $J$8:$J$204 = J192, $G$8:$G$204 &lt; H192, $H$8:$H$204 &gt; G192, ROW($E$8:$E$204) &lt;&gt; ROW(E192))), #REF!)), """", TEXTJOIN("", "", TRUE, FILTER($E$8:$E$204, $F$8:$F$204 = "&amp;"F192, $J$8:$J$204 = J192, $G$8:$G$204 &lt; H192, $H$8:$H$204 &gt; G192, ROW($E$8:$E$204) &lt;&gt; ROW(E192)))), """")"),"")</f>
        <v/>
      </c>
      <c r="M192" s="23"/>
      <c r="N192" s="13"/>
    </row>
    <row r="193" spans="1:14" x14ac:dyDescent="0.25">
      <c r="A193" s="21"/>
      <c r="B193" s="21"/>
      <c r="C193" s="4" t="str">
        <f t="shared" si="0"/>
        <v/>
      </c>
      <c r="D193" s="22"/>
      <c r="E193" s="23"/>
      <c r="F193" s="14"/>
      <c r="G193" s="24"/>
      <c r="H193" s="24"/>
      <c r="I193" s="4" t="str">
        <f t="shared" si="37"/>
        <v/>
      </c>
      <c r="J193" s="4"/>
      <c r="K193" s="25" t="str">
        <f ca="1">IFERROR(__xludf.DUMMYFUNCTION("IF($E193="""", """", IF(OR(IFERROR(REGEXMATCH(TEXT($F193, ""dd/mm/yyyy""), SUBSTITUTE($G$2, "", "", ""|"")), FALSE), $F193=$G$4, $F193=$H$4), ""Εξέταση σε σ/κ ή αργία"", """"))"),"")</f>
        <v/>
      </c>
      <c r="L193" s="25" t="str">
        <f ca="1">IFERROR(__xludf.DUMMYFUNCTION("IFERROR(IF(ISNUMBER(SEARCH(TEXTJOIN("", "", TRUE, FILTER($E$8:$E$204, $F$8:$F$204 = F193, $J$8:$J$204 = J193, $G$8:$G$204 &lt; H193, $H$8:$H$204 &gt; G193, ROW($E$8:$E$204) &lt;&gt; ROW(E193))), #REF!)), """", TEXTJOIN("", "", TRUE, FILTER($E$8:$E$204, $F$8:$F$204 = "&amp;"F193, $J$8:$J$204 = J193, $G$8:$G$204 &lt; H193, $H$8:$H$204 &gt; G193, ROW($E$8:$E$204) &lt;&gt; ROW(E193)))), """")"),"")</f>
        <v/>
      </c>
      <c r="M193" s="23"/>
      <c r="N193" s="13"/>
    </row>
    <row r="194" spans="1:14" x14ac:dyDescent="0.25">
      <c r="A194" s="21"/>
      <c r="B194" s="21"/>
      <c r="C194" s="4" t="str">
        <f t="shared" si="0"/>
        <v/>
      </c>
      <c r="D194" s="22"/>
      <c r="E194" s="23"/>
      <c r="F194" s="14"/>
      <c r="G194" s="24"/>
      <c r="H194" s="24"/>
      <c r="I194" s="4" t="str">
        <f t="shared" si="37"/>
        <v/>
      </c>
      <c r="J194" s="4"/>
      <c r="K194" s="25" t="str">
        <f ca="1">IFERROR(__xludf.DUMMYFUNCTION("IF($E194="""", """", IF(OR(IFERROR(REGEXMATCH(TEXT($F194, ""dd/mm/yyyy""), SUBSTITUTE($G$2, "", "", ""|"")), FALSE), $F194=$G$4, $F194=$H$4), ""Εξέταση σε σ/κ ή αργία"", """"))"),"")</f>
        <v/>
      </c>
      <c r="L194" s="25" t="str">
        <f ca="1">IFERROR(__xludf.DUMMYFUNCTION("IFERROR(IF(ISNUMBER(SEARCH(TEXTJOIN("", "", TRUE, FILTER($E$8:$E$204, $F$8:$F$204 = F194, $J$8:$J$204 = J194, $G$8:$G$204 &lt; H194, $H$8:$H$204 &gt; G194, ROW($E$8:$E$204) &lt;&gt; ROW(E194))), #REF!)), """", TEXTJOIN("", "", TRUE, FILTER($E$8:$E$204, $F$8:$F$204 = "&amp;"F194, $J$8:$J$204 = J194, $G$8:$G$204 &lt; H194, $H$8:$H$204 &gt; G194, ROW($E$8:$E$204) &lt;&gt; ROW(E194)))), """")"),"")</f>
        <v/>
      </c>
      <c r="M194" s="23"/>
      <c r="N194" s="13"/>
    </row>
    <row r="195" spans="1:14" x14ac:dyDescent="0.25">
      <c r="A195" s="21"/>
      <c r="B195" s="21"/>
      <c r="C195" s="4" t="str">
        <f t="shared" si="0"/>
        <v/>
      </c>
      <c r="D195" s="22"/>
      <c r="E195" s="23"/>
      <c r="F195" s="14"/>
      <c r="G195" s="24"/>
      <c r="H195" s="24"/>
      <c r="I195" s="4" t="str">
        <f t="shared" si="37"/>
        <v/>
      </c>
      <c r="J195" s="4"/>
      <c r="K195" s="25" t="str">
        <f ca="1">IFERROR(__xludf.DUMMYFUNCTION("IF($E195="""", """", IF(OR(IFERROR(REGEXMATCH(TEXT($F195, ""dd/mm/yyyy""), SUBSTITUTE($G$2, "", "", ""|"")), FALSE), $F195=$G$4, $F195=$H$4), ""Εξέταση σε σ/κ ή αργία"", """"))"),"")</f>
        <v/>
      </c>
      <c r="L195" s="25" t="str">
        <f ca="1">IFERROR(__xludf.DUMMYFUNCTION("IFERROR(IF(ISNUMBER(SEARCH(TEXTJOIN("", "", TRUE, FILTER($E$8:$E$204, $F$8:$F$204 = F195, $J$8:$J$204 = J195, $G$8:$G$204 &lt; H195, $H$8:$H$204 &gt; G195, ROW($E$8:$E$204) &lt;&gt; ROW(E195))), #REF!)), """", TEXTJOIN("", "", TRUE, FILTER($E$8:$E$204, $F$8:$F$204 = "&amp;"F195, $J$8:$J$204 = J195, $G$8:$G$204 &lt; H195, $H$8:$H$204 &gt; G195, ROW($E$8:$E$204) &lt;&gt; ROW(E195)))), """")"),"")</f>
        <v/>
      </c>
      <c r="M195" s="23"/>
      <c r="N195" s="13"/>
    </row>
    <row r="196" spans="1:14" x14ac:dyDescent="0.25">
      <c r="A196" s="21"/>
      <c r="B196" s="21"/>
      <c r="C196" s="4" t="str">
        <f t="shared" si="0"/>
        <v/>
      </c>
      <c r="D196" s="22"/>
      <c r="E196" s="23"/>
      <c r="F196" s="14"/>
      <c r="G196" s="24"/>
      <c r="H196" s="24"/>
      <c r="I196" s="4" t="str">
        <f t="shared" si="37"/>
        <v/>
      </c>
      <c r="J196" s="4"/>
      <c r="K196" s="25" t="str">
        <f ca="1">IFERROR(__xludf.DUMMYFUNCTION("IF($E196="""", """", IF(OR(IFERROR(REGEXMATCH(TEXT($F196, ""dd/mm/yyyy""), SUBSTITUTE($G$2, "", "", ""|"")), FALSE), $F196=$G$4, $F196=$H$4), ""Εξέταση σε σ/κ ή αργία"", """"))"),"")</f>
        <v/>
      </c>
      <c r="L196" s="25" t="str">
        <f ca="1">IFERROR(__xludf.DUMMYFUNCTION("IFERROR(IF(ISNUMBER(SEARCH(TEXTJOIN("", "", TRUE, FILTER($E$8:$E$204, $F$8:$F$204 = F196, $J$8:$J$204 = J196, $G$8:$G$204 &lt; H196, $H$8:$H$204 &gt; G196, ROW($E$8:$E$204) &lt;&gt; ROW(E196))), #REF!)), """", TEXTJOIN("", "", TRUE, FILTER($E$8:$E$204, $F$8:$F$204 = "&amp;"F196, $J$8:$J$204 = J196, $G$8:$G$204 &lt; H196, $H$8:$H$204 &gt; G196, ROW($E$8:$E$204) &lt;&gt; ROW(E196)))), """")"),"")</f>
        <v/>
      </c>
      <c r="M196" s="23"/>
      <c r="N196" s="13"/>
    </row>
    <row r="197" spans="1:14" x14ac:dyDescent="0.25">
      <c r="A197" s="21"/>
      <c r="B197" s="21"/>
      <c r="C197" s="4" t="str">
        <f t="shared" si="0"/>
        <v/>
      </c>
      <c r="D197" s="22"/>
      <c r="E197" s="23"/>
      <c r="F197" s="14"/>
      <c r="G197" s="24"/>
      <c r="H197" s="24"/>
      <c r="I197" s="4" t="str">
        <f t="shared" si="37"/>
        <v/>
      </c>
      <c r="J197" s="4"/>
      <c r="K197" s="25" t="str">
        <f ca="1">IFERROR(__xludf.DUMMYFUNCTION("IF($E197="""", """", IF(OR(IFERROR(REGEXMATCH(TEXT($F197, ""dd/mm/yyyy""), SUBSTITUTE($G$2, "", "", ""|"")), FALSE), $F197=$G$4, $F197=$H$4), ""Εξέταση σε σ/κ ή αργία"", """"))"),"")</f>
        <v/>
      </c>
      <c r="L197" s="25" t="str">
        <f ca="1">IFERROR(__xludf.DUMMYFUNCTION("IFERROR(IF(ISNUMBER(SEARCH(TEXTJOIN("", "", TRUE, FILTER($E$8:$E$204, $F$8:$F$204 = F197, $J$8:$J$204 = J197, $G$8:$G$204 &lt; H197, $H$8:$H$204 &gt; G197, ROW($E$8:$E$204) &lt;&gt; ROW(E197))), #REF!)), """", TEXTJOIN("", "", TRUE, FILTER($E$8:$E$204, $F$8:$F$204 = "&amp;"F197, $J$8:$J$204 = J197, $G$8:$G$204 &lt; H197, $H$8:$H$204 &gt; G197, ROW($E$8:$E$204) &lt;&gt; ROW(E197)))), """")"),"")</f>
        <v/>
      </c>
      <c r="M197" s="23"/>
      <c r="N197" s="13"/>
    </row>
    <row r="198" spans="1:14" x14ac:dyDescent="0.25">
      <c r="A198" s="21"/>
      <c r="B198" s="21"/>
      <c r="C198" s="4" t="str">
        <f t="shared" si="0"/>
        <v/>
      </c>
      <c r="D198" s="22"/>
      <c r="E198" s="23"/>
      <c r="F198" s="14"/>
      <c r="G198" s="24"/>
      <c r="H198" s="24"/>
      <c r="I198" s="4" t="str">
        <f t="shared" si="37"/>
        <v/>
      </c>
      <c r="J198" s="4"/>
      <c r="K198" s="25" t="str">
        <f ca="1">IFERROR(__xludf.DUMMYFUNCTION("IF($E198="""", """", IF(OR(IFERROR(REGEXMATCH(TEXT($F198, ""dd/mm/yyyy""), SUBSTITUTE($G$2, "", "", ""|"")), FALSE), $F198=$G$4, $F198=$H$4), ""Εξέταση σε σ/κ ή αργία"", """"))"),"")</f>
        <v/>
      </c>
      <c r="L198" s="25" t="str">
        <f ca="1">IFERROR(__xludf.DUMMYFUNCTION("IFERROR(IF(ISNUMBER(SEARCH(TEXTJOIN("", "", TRUE, FILTER($E$8:$E$204, $F$8:$F$204 = F198, $J$8:$J$204 = J198, $G$8:$G$204 &lt; H198, $H$8:$H$204 &gt; G198, ROW($E$8:$E$204) &lt;&gt; ROW(E198))), #REF!)), """", TEXTJOIN("", "", TRUE, FILTER($E$8:$E$204, $F$8:$F$204 = "&amp;"F198, $J$8:$J$204 = J198, $G$8:$G$204 &lt; H198, $H$8:$H$204 &gt; G198, ROW($E$8:$E$204) &lt;&gt; ROW(E198)))), """")"),"")</f>
        <v/>
      </c>
      <c r="M198" s="23"/>
      <c r="N198" s="13"/>
    </row>
    <row r="199" spans="1:14" x14ac:dyDescent="0.25">
      <c r="A199" s="21"/>
      <c r="B199" s="21"/>
      <c r="C199" s="4" t="str">
        <f t="shared" si="0"/>
        <v/>
      </c>
      <c r="D199" s="22"/>
      <c r="E199" s="23"/>
      <c r="F199" s="14"/>
      <c r="G199" s="24"/>
      <c r="H199" s="24"/>
      <c r="I199" s="4" t="str">
        <f t="shared" si="37"/>
        <v/>
      </c>
      <c r="J199" s="4"/>
      <c r="K199" s="25" t="str">
        <f ca="1">IFERROR(__xludf.DUMMYFUNCTION("IF($E199="""", """", IF(OR(IFERROR(REGEXMATCH(TEXT($F199, ""dd/mm/yyyy""), SUBSTITUTE($G$2, "", "", ""|"")), FALSE), $F199=$G$4, $F199=$H$4), ""Εξέταση σε σ/κ ή αργία"", """"))"),"")</f>
        <v/>
      </c>
      <c r="L199" s="25" t="str">
        <f ca="1">IFERROR(__xludf.DUMMYFUNCTION("IFERROR(IF(ISNUMBER(SEARCH(TEXTJOIN("", "", TRUE, FILTER($E$8:$E$204, $F$8:$F$204 = F199, $J$8:$J$204 = J199, $G$8:$G$204 &lt; H199, $H$8:$H$204 &gt; G199, ROW($E$8:$E$204) &lt;&gt; ROW(E199))), #REF!)), """", TEXTJOIN("", "", TRUE, FILTER($E$8:$E$204, $F$8:$F$204 = "&amp;"F199, $J$8:$J$204 = J199, $G$8:$G$204 &lt; H199, $H$8:$H$204 &gt; G199, ROW($E$8:$E$204) &lt;&gt; ROW(E199)))), """")"),"")</f>
        <v/>
      </c>
      <c r="M199" s="23"/>
      <c r="N199" s="13"/>
    </row>
    <row r="200" spans="1:14" x14ac:dyDescent="0.25">
      <c r="A200" s="21"/>
      <c r="B200" s="21"/>
      <c r="C200" s="4" t="str">
        <f t="shared" si="0"/>
        <v/>
      </c>
      <c r="D200" s="22"/>
      <c r="E200" s="23"/>
      <c r="F200" s="14"/>
      <c r="G200" s="24"/>
      <c r="H200" s="24"/>
      <c r="I200" s="4" t="str">
        <f t="shared" si="37"/>
        <v/>
      </c>
      <c r="J200" s="4"/>
      <c r="K200" s="25" t="str">
        <f ca="1">IFERROR(__xludf.DUMMYFUNCTION("IF($E200="""", """", IF(OR(IFERROR(REGEXMATCH(TEXT($F200, ""dd/mm/yyyy""), SUBSTITUTE($G$2, "", "", ""|"")), FALSE), $F200=$G$4, $F200=$H$4), ""Εξέταση σε σ/κ ή αργία"", """"))"),"")</f>
        <v/>
      </c>
      <c r="L200" s="25" t="str">
        <f ca="1">IFERROR(__xludf.DUMMYFUNCTION("IFERROR(IF(ISNUMBER(SEARCH(TEXTJOIN("", "", TRUE, FILTER($E$8:$E$204, $F$8:$F$204 = F200, $J$8:$J$204 = J200, $G$8:$G$204 &lt; H200, $H$8:$H$204 &gt; G200, ROW($E$8:$E$204) &lt;&gt; ROW(E200))), #REF!)), """", TEXTJOIN("", "", TRUE, FILTER($E$8:$E$204, $F$8:$F$204 = "&amp;"F200, $J$8:$J$204 = J200, $G$8:$G$204 &lt; H200, $H$8:$H$204 &gt; G200, ROW($E$8:$E$204) &lt;&gt; ROW(E200)))), """")"),"")</f>
        <v/>
      </c>
      <c r="M200" s="23"/>
      <c r="N200" s="13"/>
    </row>
    <row r="201" spans="1:14" x14ac:dyDescent="0.25">
      <c r="A201" s="21"/>
      <c r="B201" s="21"/>
      <c r="C201" s="4" t="str">
        <f t="shared" si="0"/>
        <v/>
      </c>
      <c r="D201" s="22"/>
      <c r="E201" s="23"/>
      <c r="F201" s="14"/>
      <c r="G201" s="24"/>
      <c r="H201" s="24"/>
      <c r="I201" s="4" t="str">
        <f t="shared" si="37"/>
        <v/>
      </c>
      <c r="J201" s="4"/>
      <c r="K201" s="25" t="str">
        <f ca="1">IFERROR(__xludf.DUMMYFUNCTION("IF($E201="""", """", IF(OR(IFERROR(REGEXMATCH(TEXT($F201, ""dd/mm/yyyy""), SUBSTITUTE($G$2, "", "", ""|"")), FALSE), $F201=$G$4, $F201=$H$4), ""Εξέταση σε σ/κ ή αργία"", """"))"),"")</f>
        <v/>
      </c>
      <c r="L201" s="25" t="str">
        <f ca="1">IFERROR(__xludf.DUMMYFUNCTION("IFERROR(IF(ISNUMBER(SEARCH(TEXTJOIN("", "", TRUE, FILTER($E$8:$E$204, $F$8:$F$204 = F201, $J$8:$J$204 = J201, $G$8:$G$204 &lt; H201, $H$8:$H$204 &gt; G201, ROW($E$8:$E$204) &lt;&gt; ROW(E201))), #REF!)), """", TEXTJOIN("", "", TRUE, FILTER($E$8:$E$204, $F$8:$F$204 = "&amp;"F201, $J$8:$J$204 = J201, $G$8:$G$204 &lt; H201, $H$8:$H$204 &gt; G201, ROW($E$8:$E$204) &lt;&gt; ROW(E201)))), """")"),"")</f>
        <v/>
      </c>
      <c r="M201" s="23"/>
      <c r="N201" s="13"/>
    </row>
    <row r="202" spans="1:14" x14ac:dyDescent="0.25">
      <c r="A202" s="21"/>
      <c r="B202" s="21"/>
      <c r="C202" s="4" t="str">
        <f t="shared" si="0"/>
        <v/>
      </c>
      <c r="D202" s="22"/>
      <c r="E202" s="23"/>
      <c r="F202" s="14"/>
      <c r="G202" s="24"/>
      <c r="H202" s="24"/>
      <c r="I202" s="4" t="str">
        <f t="shared" si="37"/>
        <v/>
      </c>
      <c r="J202" s="4"/>
      <c r="K202" s="25" t="str">
        <f ca="1">IFERROR(__xludf.DUMMYFUNCTION("IF($E202="""", """", IF(OR(IFERROR(REGEXMATCH(TEXT($F202, ""dd/mm/yyyy""), SUBSTITUTE($G$2, "", "", ""|"")), FALSE), $F202=$G$4, $F202=$H$4), ""Εξέταση σε σ/κ ή αργία"", """"))"),"")</f>
        <v/>
      </c>
      <c r="L202" s="25" t="str">
        <f ca="1">IFERROR(__xludf.DUMMYFUNCTION("IFERROR(IF(ISNUMBER(SEARCH(TEXTJOIN("", "", TRUE, FILTER($E$8:$E$204, $F$8:$F$204 = F202, $J$8:$J$204 = J202, $G$8:$G$204 &lt; H202, $H$8:$H$204 &gt; G202, ROW($E$8:$E$204) &lt;&gt; ROW(E202))), #REF!)), """", TEXTJOIN("", "", TRUE, FILTER($E$8:$E$204, $F$8:$F$204 = "&amp;"F202, $J$8:$J$204 = J202, $G$8:$G$204 &lt; H202, $H$8:$H$204 &gt; G202, ROW($E$8:$E$204) &lt;&gt; ROW(E202)))), """")"),"")</f>
        <v/>
      </c>
      <c r="M202" s="23"/>
      <c r="N202" s="13"/>
    </row>
    <row r="203" spans="1:14" x14ac:dyDescent="0.25">
      <c r="A203" s="21"/>
      <c r="B203" s="21"/>
      <c r="C203" s="4" t="str">
        <f t="shared" si="0"/>
        <v/>
      </c>
      <c r="D203" s="22"/>
      <c r="E203" s="23"/>
      <c r="F203" s="14"/>
      <c r="G203" s="24"/>
      <c r="H203" s="24"/>
      <c r="I203" s="4" t="str">
        <f t="shared" si="37"/>
        <v/>
      </c>
      <c r="J203" s="4"/>
      <c r="K203" s="25" t="str">
        <f ca="1">IFERROR(__xludf.DUMMYFUNCTION("IF($E203="""", """", IF(OR(IFERROR(REGEXMATCH(TEXT($F203, ""dd/mm/yyyy""), SUBSTITUTE($G$2, "", "", ""|"")), FALSE), $F203=$G$4, $F203=$H$4), ""Εξέταση σε σ/κ ή αργία"", """"))"),"")</f>
        <v/>
      </c>
      <c r="L203" s="25" t="str">
        <f ca="1">IFERROR(__xludf.DUMMYFUNCTION("IFERROR(IF(ISNUMBER(SEARCH(TEXTJOIN("", "", TRUE, FILTER($E$8:$E$204, $F$8:$F$204 = F203, $J$8:$J$204 = J203, $G$8:$G$204 &lt; H203, $H$8:$H$204 &gt; G203, ROW($E$8:$E$204) &lt;&gt; ROW(E203))), #REF!)), """", TEXTJOIN("", "", TRUE, FILTER($E$8:$E$204, $F$8:$F$204 = "&amp;"F203, $J$8:$J$204 = J203, $G$8:$G$204 &lt; H203, $H$8:$H$204 &gt; G203, ROW($E$8:$E$204) &lt;&gt; ROW(E203)))), """")"),"")</f>
        <v/>
      </c>
      <c r="M203" s="23"/>
      <c r="N203" s="13"/>
    </row>
    <row r="204" spans="1:14" x14ac:dyDescent="0.25">
      <c r="A204" s="13"/>
      <c r="B204" s="13"/>
      <c r="C204" s="13" t="str">
        <f t="shared" si="0"/>
        <v/>
      </c>
      <c r="D204" s="13"/>
      <c r="E204" s="13"/>
      <c r="F204" s="13"/>
      <c r="G204" s="13"/>
      <c r="H204" s="13"/>
      <c r="I204" s="13" t="str">
        <f t="shared" si="37"/>
        <v/>
      </c>
      <c r="J204" s="13"/>
      <c r="K204" s="13" t="str">
        <f ca="1">IFERROR(__xludf.DUMMYFUNCTION("IF($E204="""", """", IF(OR(IFERROR(REGEXMATCH(TEXT($F204, ""dd/mm/yyyy""), SUBSTITUTE($G$2, "", "", ""|"")), FALSE), $F204=$G$4, $F204=$H$4), ""Εξέταση σε σ/κ ή αργία"", """"))"),"")</f>
        <v/>
      </c>
      <c r="L204" s="13" t="str">
        <f ca="1">IFERROR(__xludf.DUMMYFUNCTION("IFERROR(IF(ISNUMBER(SEARCH(TEXTJOIN("", "", TRUE, FILTER($E$8:$E$204, $F$8:$F$204 = F204, $J$8:$J$204 = J204, $G$8:$G$204 &lt; H204, $H$8:$H$204 &gt; G204, ROW($E$8:$E$204) &lt;&gt; ROW(E204))), #REF!)), """", TEXTJOIN("", "", TRUE, FILTER($E$8:$E$204, $F$8:$F$204 = "&amp;"F204, $J$8:$J$204 = J204, $G$8:$G$204 &lt; H204, $H$8:$H$204 &gt; G204, ROW($E$8:$E$204) &lt;&gt; ROW(E204)))), """")"),"")</f>
        <v/>
      </c>
      <c r="M204" s="13"/>
      <c r="N204" s="13"/>
    </row>
  </sheetData>
  <autoFilter ref="A7:L178"/>
  <mergeCells count="2">
    <mergeCell ref="G2:J2"/>
    <mergeCell ref="F6:K6"/>
  </mergeCells>
  <conditionalFormatting sqref="F8:J203">
    <cfRule type="expression" dxfId="2" priority="3">
      <formula>AND($E8&lt;&gt;"", F8="")</formula>
    </cfRule>
  </conditionalFormatting>
  <conditionalFormatting sqref="K8:L203">
    <cfRule type="notContainsBlanks" dxfId="1" priority="2">
      <formula>LEN(TRIM(K8))&gt;0</formula>
    </cfRule>
  </conditionalFormatting>
  <conditionalFormatting sqref="L8:L203">
    <cfRule type="expression" dxfId="0" priority="1">
      <formula>AND(L8&lt;&gt;"", M8&lt;&gt;"", ISNUMBER(SEARCH(LEFT(L8, FIND(",", L8&amp;",")-1), M8)))</formula>
    </cfRule>
  </conditionalFormatting>
  <dataValidations count="8">
    <dataValidation type="list" allowBlank="1" showErrorMessage="1" sqref="D8:D204">
      <formula1>"Ζωοτεχνίας &amp; Διατροφής,Βιοχημείας,Ανατομικής, Ιστολογίας &amp; Εμβρυολογίας,Φυσιολογίας,Ιχθυολογίας &amp; Ιχθυοπαθολογίας,Επιδημιολογίας &amp; Οικονομίας,Φαρμακολογίας &amp; Τοξικολογίας,Μικροβιολογίας &amp; Παρασιτολογίας,Υγιεινής,ΠΑΘΑΝ,Μαιευτικής,Παθολογίας Πτηνών,Παθολογί"&amp;"ας,Χειρουργικής"</formula1>
    </dataValidation>
    <dataValidation type="list" allowBlank="1" showErrorMessage="1" sqref="A8:A204">
      <formula1>"1ο Έτος,2ο Έτος,3ο Έτος,4ο Έτος,5ο Έτος,ΠΠΣ"</formula1>
    </dataValidation>
    <dataValidation type="list" allowBlank="1" showErrorMessage="1" sqref="E2">
      <formula1>"Χειμερινού,Εαρινού,Σεπτεμβρίου"</formula1>
    </dataValidation>
    <dataValidation type="list" allowBlank="1" showErrorMessage="1" sqref="G8:H71 H72 G73:H204">
      <formula1>"8:00,9:00,10:00,11:00,12:00,13:00,14:00,15:00,16:00,17:00,18:00,19:00,20:00,21:00"</formula1>
    </dataValidation>
    <dataValidation type="list" allowBlank="1" showErrorMessage="1" sqref="J8:J204">
      <formula1>"Αμφιθέατρα,Μεγάλο Αμφιθέατρο,Μικρό Αμφιθέατρο,Νέες Αίθουσες,Αίθουσα έναντι Παθολογικής,Αίθουσα Έναντι Χειρουργικής,Άνω Αίθουσα,Αίθουσα Μικροσκοπίας,Ανατομείο,Εργαστήριο Διατροφής,Παθολογική Κλινική,Χειρουργική Κλινική,Μαιευτική Κλινική,Νεκροτομείο,Εργαστή"&amp;"ριο Υγιεινής,Εργαστήριο Ιχθυοπαθολογίας,Σφαγείο"</formula1>
    </dataValidation>
    <dataValidation type="list" allowBlank="1" showErrorMessage="1" sqref="B8:B204">
      <formula1>"Χειμερινό,Εαρινό,ΠΠΣ"</formula1>
    </dataValidation>
    <dataValidation type="date" allowBlank="1" showDropDown="1" showErrorMessage="1" sqref="F8:F204">
      <formula1>$E$3</formula1>
      <formula2>$E$4</formula2>
    </dataValidation>
    <dataValidation type="list" allowBlank="1" showErrorMessage="1" sqref="M8:M204">
      <formula1>$E$8:$E$204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A7D6"/>
    <outlinePr summaryBelow="0" summaryRight="0"/>
  </sheetPr>
  <dimension ref="A1:D26"/>
  <sheetViews>
    <sheetView workbookViewId="0"/>
  </sheetViews>
  <sheetFormatPr defaultColWidth="14.42578125" defaultRowHeight="15" customHeight="1" x14ac:dyDescent="0.25"/>
  <cols>
    <col min="1" max="1" width="4.28515625" customWidth="1"/>
    <col min="2" max="2" width="32.42578125" customWidth="1"/>
    <col min="3" max="3" width="152.7109375" customWidth="1"/>
    <col min="4" max="4" width="59.85546875" customWidth="1"/>
  </cols>
  <sheetData>
    <row r="1" spans="1:4" ht="17.25" x14ac:dyDescent="0.3">
      <c r="A1" s="36"/>
      <c r="B1" s="36"/>
      <c r="C1" s="37"/>
      <c r="D1" s="36"/>
    </row>
    <row r="2" spans="1:4" ht="9.75" customHeight="1" x14ac:dyDescent="0.3">
      <c r="A2" s="36"/>
      <c r="B2" s="34"/>
      <c r="C2" s="38"/>
      <c r="D2" s="112" t="s">
        <v>259</v>
      </c>
    </row>
    <row r="3" spans="1:4" ht="15.75" x14ac:dyDescent="0.3">
      <c r="A3" s="36"/>
      <c r="B3" s="113" t="s">
        <v>260</v>
      </c>
      <c r="C3" s="111"/>
      <c r="D3" s="111"/>
    </row>
    <row r="4" spans="1:4" ht="17.25" x14ac:dyDescent="0.3">
      <c r="A4" s="36"/>
      <c r="B4" s="34"/>
      <c r="C4" s="38"/>
      <c r="D4" s="111"/>
    </row>
    <row r="5" spans="1:4" ht="21.75" customHeight="1" x14ac:dyDescent="0.3">
      <c r="A5" s="36"/>
      <c r="B5" s="34"/>
      <c r="C5" s="38"/>
      <c r="D5" s="111"/>
    </row>
    <row r="6" spans="1:4" ht="51.75" x14ac:dyDescent="0.3">
      <c r="A6" s="36"/>
      <c r="B6" s="40" t="s">
        <v>261</v>
      </c>
      <c r="C6" s="38" t="s">
        <v>262</v>
      </c>
      <c r="D6" s="36"/>
    </row>
    <row r="7" spans="1:4" ht="308.25" customHeight="1" x14ac:dyDescent="0.3">
      <c r="A7" s="36"/>
      <c r="B7" s="40"/>
      <c r="C7" s="38"/>
      <c r="D7" s="36"/>
    </row>
    <row r="8" spans="1:4" ht="86.25" x14ac:dyDescent="0.3">
      <c r="A8" s="36"/>
      <c r="B8" s="41" t="s">
        <v>263</v>
      </c>
      <c r="C8" s="38" t="s">
        <v>264</v>
      </c>
      <c r="D8" s="36"/>
    </row>
    <row r="9" spans="1:4" ht="126.75" customHeight="1" x14ac:dyDescent="0.3">
      <c r="A9" s="36"/>
      <c r="B9" s="41"/>
      <c r="C9" s="38"/>
      <c r="D9" s="36"/>
    </row>
    <row r="10" spans="1:4" ht="34.5" x14ac:dyDescent="0.3">
      <c r="A10" s="36"/>
      <c r="B10" s="41"/>
      <c r="C10" s="38" t="s">
        <v>265</v>
      </c>
      <c r="D10" s="36"/>
    </row>
    <row r="11" spans="1:4" ht="117.75" customHeight="1" x14ac:dyDescent="0.3">
      <c r="A11" s="36"/>
      <c r="B11" s="41"/>
      <c r="C11" s="38"/>
      <c r="D11" s="36"/>
    </row>
    <row r="12" spans="1:4" ht="51.75" x14ac:dyDescent="0.3">
      <c r="A12" s="36"/>
      <c r="B12" s="41" t="s">
        <v>266</v>
      </c>
      <c r="C12" s="38" t="s">
        <v>267</v>
      </c>
      <c r="D12" s="36"/>
    </row>
    <row r="13" spans="1:4" ht="34.5" x14ac:dyDescent="0.3">
      <c r="A13" s="36"/>
      <c r="B13" s="41" t="s">
        <v>268</v>
      </c>
      <c r="C13" s="38" t="s">
        <v>269</v>
      </c>
      <c r="D13" s="36"/>
    </row>
    <row r="14" spans="1:4" ht="17.25" x14ac:dyDescent="0.3">
      <c r="A14" s="36"/>
      <c r="B14" s="41" t="s">
        <v>270</v>
      </c>
      <c r="C14" s="38" t="s">
        <v>271</v>
      </c>
      <c r="D14" s="36"/>
    </row>
    <row r="15" spans="1:4" ht="51.75" x14ac:dyDescent="0.3">
      <c r="A15" s="36"/>
      <c r="B15" s="41" t="s">
        <v>272</v>
      </c>
      <c r="C15" s="38" t="s">
        <v>273</v>
      </c>
      <c r="D15" s="36"/>
    </row>
    <row r="16" spans="1:4" ht="69" x14ac:dyDescent="0.3">
      <c r="A16" s="36"/>
      <c r="B16" s="41" t="s">
        <v>274</v>
      </c>
      <c r="C16" s="38" t="s">
        <v>275</v>
      </c>
      <c r="D16" s="36"/>
    </row>
    <row r="17" spans="1:4" ht="17.25" x14ac:dyDescent="0.3">
      <c r="A17" s="36"/>
      <c r="B17" s="36"/>
      <c r="C17" s="37"/>
      <c r="D17" s="36"/>
    </row>
    <row r="18" spans="1:4" ht="51.75" x14ac:dyDescent="0.3">
      <c r="A18" s="36"/>
      <c r="B18" s="42" t="s">
        <v>276</v>
      </c>
      <c r="C18" s="38" t="s">
        <v>277</v>
      </c>
      <c r="D18" s="36"/>
    </row>
    <row r="19" spans="1:4" ht="17.25" x14ac:dyDescent="0.3">
      <c r="A19" s="36"/>
      <c r="B19" s="42"/>
      <c r="C19" s="39" t="s">
        <v>278</v>
      </c>
      <c r="D19" s="36"/>
    </row>
    <row r="20" spans="1:4" ht="88.5" customHeight="1" x14ac:dyDescent="0.3">
      <c r="A20" s="36"/>
      <c r="B20" s="42"/>
      <c r="C20" s="38"/>
      <c r="D20" s="36"/>
    </row>
    <row r="21" spans="1:4" ht="18.75" customHeight="1" x14ac:dyDescent="0.3">
      <c r="A21" s="36"/>
      <c r="B21" s="42"/>
      <c r="C21" s="39" t="s">
        <v>279</v>
      </c>
      <c r="D21" s="36"/>
    </row>
    <row r="22" spans="1:4" ht="372.75" customHeight="1" x14ac:dyDescent="0.3">
      <c r="A22" s="36"/>
      <c r="B22" s="42"/>
      <c r="C22" s="38"/>
      <c r="D22" s="36"/>
    </row>
    <row r="23" spans="1:4" ht="30.75" customHeight="1" x14ac:dyDescent="0.3">
      <c r="A23" s="36"/>
      <c r="B23" s="42"/>
      <c r="C23" s="39" t="s">
        <v>280</v>
      </c>
      <c r="D23" s="36"/>
    </row>
    <row r="24" spans="1:4" ht="409.6" customHeight="1" x14ac:dyDescent="0.3">
      <c r="A24" s="36"/>
      <c r="B24" s="42"/>
      <c r="C24" s="38"/>
      <c r="D24" s="36"/>
    </row>
    <row r="25" spans="1:4" ht="15" customHeight="1" x14ac:dyDescent="0.3">
      <c r="A25" s="36"/>
      <c r="B25" s="36"/>
      <c r="C25" s="37"/>
      <c r="D25" s="36"/>
    </row>
    <row r="26" spans="1:4" ht="17.25" x14ac:dyDescent="0.3">
      <c r="A26" s="36"/>
      <c r="B26" s="36"/>
      <c r="C26" s="37"/>
      <c r="D26" s="36"/>
    </row>
  </sheetData>
  <mergeCells count="2">
    <mergeCell ref="D2:D5"/>
    <mergeCell ref="B3:C3"/>
  </mergeCells>
  <pageMargins left="0.7" right="0.7" top="0.75" bottom="0.75" header="0.3" footer="0.3"/>
  <pageSetup orientation="portrait" horizontalDpi="0" verticalDpi="0" copies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Πρόγραμμα</vt:lpstr>
      <vt:lpstr>Σύνοψη</vt:lpstr>
      <vt:lpstr>Οδηγίες</vt:lpstr>
      <vt:lpstr>Μαθήματα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2026-07-09T09:35:29Z</cp:lastPrinted>
  <dcterms:created xsi:type="dcterms:W3CDTF">2026-07-09T14:34:03Z</dcterms:created>
  <dcterms:modified xsi:type="dcterms:W3CDTF">2026-07-17T04:12:02Z</dcterms:modified>
</cp:coreProperties>
</file>